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D:\2025\Plan de Mejoramiento CB y CGR\Seguimiento Noviembre 2025\"/>
    </mc:Choice>
  </mc:AlternateContent>
  <xr:revisionPtr revIDLastSave="0" documentId="8_{717192E2-03E0-4806-AF45-920BB3430885}" xr6:coauthVersionLast="47" xr6:coauthVersionMax="47" xr10:uidLastSave="{00000000-0000-0000-0000-000000000000}"/>
  <workbookProtection workbookAlgorithmName="SHA-512" workbookHashValue="z8r5kpOdXYmocXt6u31U//CqKjaLmQNHLUwQhf9+mFVYlCKE6U7+4BoYWKlovWDsJdL3rqwn25yTZRToY2iVsg==" workbookSaltValue="EX4CHZHkmIH+ikWapGQLog==" workbookSpinCount="100000" lockStructure="1"/>
  <bookViews>
    <workbookView xWindow="-120" yWindow="-120" windowWidth="29040" windowHeight="15720" firstSheet="1" activeTab="1" xr2:uid="{00000000-000D-0000-FFFF-FFFF00000000}"/>
  </bookViews>
  <sheets>
    <sheet name="Parametros" sheetId="1" state="hidden" r:id="rId1"/>
    <sheet name="Plan de Mejoramiento" sheetId="2" r:id="rId2"/>
    <sheet name="KPIs" sheetId="3" state="hidden" r:id="rId3"/>
    <sheet name="Resumenes" sheetId="4" state="hidden" r:id="rId4"/>
    <sheet name="Dashboard" sheetId="5" state="hidden" r:id="rId5"/>
  </sheets>
  <definedNames>
    <definedName name="_xlnm._FilterDatabase" localSheetId="1" hidden="1">'Plan de Mejoramiento'!$A$4:$AJ$53</definedName>
    <definedName name="_xlnm.Print_Area" localSheetId="1">'Plan de Mejoramiento'!$A$1:$AJ$4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 i="2" l="1"/>
  <c r="AA6" i="2"/>
  <c r="AA7" i="2"/>
  <c r="AA8" i="2"/>
  <c r="Y5" i="2"/>
  <c r="Y6" i="2"/>
  <c r="Y7" i="2"/>
  <c r="Y8" i="2"/>
  <c r="Y9" i="2" l="1"/>
  <c r="Z9" i="2"/>
  <c r="AA9" i="2"/>
  <c r="E3" i="4" l="1"/>
  <c r="E4" i="4"/>
  <c r="E5" i="4"/>
  <c r="E6" i="4"/>
  <c r="E7" i="4"/>
  <c r="E8" i="4"/>
  <c r="E9" i="4"/>
  <c r="E10" i="4"/>
  <c r="B3" i="4"/>
  <c r="B4" i="4"/>
  <c r="B5" i="4"/>
  <c r="B6" i="4"/>
  <c r="B7" i="4"/>
  <c r="B8" i="4"/>
  <c r="B9" i="4"/>
  <c r="B10" i="4"/>
  <c r="B2" i="4"/>
  <c r="B3" i="5"/>
  <c r="E2" i="4"/>
  <c r="B6" i="3"/>
  <c r="B5" i="3"/>
  <c r="B4" i="3"/>
  <c r="B3" i="3"/>
  <c r="B2" i="3"/>
  <c r="AA53" i="2"/>
  <c r="Z53" i="2"/>
  <c r="Y53" i="2"/>
  <c r="AA52" i="2"/>
  <c r="Z52" i="2"/>
  <c r="Y52" i="2"/>
  <c r="AA51" i="2"/>
  <c r="Z51" i="2"/>
  <c r="Y51" i="2"/>
  <c r="AA50" i="2"/>
  <c r="Z50" i="2"/>
  <c r="Y50" i="2"/>
  <c r="AA49" i="2"/>
  <c r="Z49" i="2"/>
  <c r="Y49" i="2"/>
  <c r="AA48" i="2"/>
  <c r="Z48" i="2"/>
  <c r="Y48" i="2"/>
  <c r="AA47" i="2"/>
  <c r="Z47" i="2"/>
  <c r="Y47" i="2"/>
  <c r="AA46" i="2"/>
  <c r="Z46" i="2"/>
  <c r="Y46" i="2"/>
  <c r="AA45" i="2"/>
  <c r="Z45" i="2"/>
  <c r="Y45" i="2"/>
  <c r="AA44" i="2"/>
  <c r="Z44" i="2"/>
  <c r="Y44" i="2"/>
  <c r="AA43" i="2"/>
  <c r="Z43" i="2"/>
  <c r="Y43" i="2"/>
  <c r="AA42" i="2"/>
  <c r="Z42" i="2"/>
  <c r="Y42" i="2"/>
  <c r="AA41" i="2"/>
  <c r="Z41" i="2"/>
  <c r="Y41" i="2"/>
  <c r="AA40" i="2"/>
  <c r="Z40" i="2"/>
  <c r="Y40" i="2"/>
  <c r="AA39" i="2"/>
  <c r="Z39" i="2"/>
  <c r="Y39" i="2"/>
  <c r="AA38" i="2"/>
  <c r="Z38" i="2"/>
  <c r="Y38" i="2"/>
  <c r="AA37" i="2"/>
  <c r="Z37" i="2"/>
  <c r="Y37" i="2"/>
  <c r="AA36" i="2"/>
  <c r="Z36" i="2"/>
  <c r="Y36" i="2"/>
  <c r="AA35" i="2"/>
  <c r="Z35" i="2"/>
  <c r="Y35" i="2"/>
  <c r="AA34" i="2"/>
  <c r="Z34" i="2"/>
  <c r="Y34" i="2"/>
  <c r="AA33" i="2"/>
  <c r="Z33" i="2"/>
  <c r="Y33" i="2"/>
  <c r="AA32" i="2"/>
  <c r="Z32" i="2"/>
  <c r="Y32" i="2"/>
  <c r="AA31" i="2"/>
  <c r="Z31" i="2"/>
  <c r="Y31" i="2"/>
  <c r="AA30" i="2"/>
  <c r="Z30" i="2"/>
  <c r="Y30" i="2"/>
  <c r="AA29" i="2"/>
  <c r="Z29" i="2"/>
  <c r="Y29" i="2"/>
  <c r="AA28" i="2"/>
  <c r="Z28" i="2"/>
  <c r="Y28" i="2"/>
  <c r="AA27" i="2"/>
  <c r="Z27" i="2"/>
  <c r="Y27" i="2"/>
  <c r="AA26" i="2"/>
  <c r="Z26" i="2"/>
  <c r="Y26" i="2"/>
  <c r="AA25" i="2"/>
  <c r="Z25" i="2"/>
  <c r="Y25" i="2"/>
  <c r="AA24" i="2"/>
  <c r="Z24" i="2"/>
  <c r="Y24" i="2"/>
  <c r="AA23" i="2"/>
  <c r="Z23" i="2"/>
  <c r="Y23" i="2"/>
  <c r="AA22" i="2"/>
  <c r="Z22" i="2"/>
  <c r="Y22" i="2"/>
  <c r="AA21" i="2"/>
  <c r="Z21" i="2"/>
  <c r="Y21" i="2"/>
  <c r="AA20" i="2"/>
  <c r="Z20" i="2"/>
  <c r="Y20" i="2"/>
  <c r="AA19" i="2"/>
  <c r="Z19" i="2"/>
  <c r="Y19" i="2"/>
  <c r="AA18" i="2"/>
  <c r="Z18" i="2"/>
  <c r="Y18" i="2"/>
  <c r="AA17" i="2"/>
  <c r="Z17" i="2"/>
  <c r="Y17" i="2"/>
  <c r="AA16" i="2"/>
  <c r="Z16" i="2"/>
  <c r="Y16" i="2"/>
  <c r="AA15" i="2"/>
  <c r="Z15" i="2"/>
  <c r="Y15" i="2"/>
  <c r="AA14" i="2"/>
  <c r="Z14" i="2"/>
  <c r="Y14" i="2"/>
  <c r="AA13" i="2"/>
  <c r="Z13" i="2"/>
  <c r="Y13" i="2"/>
  <c r="AA12" i="2"/>
  <c r="Z12" i="2"/>
  <c r="Y12" i="2"/>
  <c r="AA11" i="2"/>
  <c r="Z11" i="2"/>
  <c r="Y11" i="2"/>
  <c r="AA10" i="2"/>
  <c r="Z10" i="2"/>
  <c r="Y10" i="2"/>
  <c r="B8" i="3" l="1"/>
  <c r="B5" i="5" s="1"/>
  <c r="B9" i="3"/>
  <c r="B6" i="5" s="1"/>
  <c r="B10" i="3"/>
  <c r="B7"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Miguel Angel Pardo Mateus</author>
  </authors>
  <commentList>
    <comment ref="A4" authorId="0" shapeId="0" xr:uid="{C937C2B7-BA05-4969-8138-5CE6A8C4834B}">
      <text>
        <r>
          <rPr>
            <b/>
            <sz val="12"/>
            <color indexed="81"/>
            <rFont val="Tahoma"/>
            <family val="2"/>
          </rPr>
          <t>Seleccione de la liste el tipo de plan.</t>
        </r>
      </text>
    </comment>
    <comment ref="B4" authorId="0" shapeId="0" xr:uid="{22F715D5-0CD6-4F52-BD56-E4151754E3B6}">
      <text>
        <r>
          <rPr>
            <b/>
            <sz val="12"/>
            <color indexed="81"/>
            <rFont val="Tahoma"/>
            <family val="2"/>
          </rPr>
          <t>Seleccione de la lista el tipo de resultado.</t>
        </r>
      </text>
    </comment>
    <comment ref="C4" authorId="0" shapeId="0" xr:uid="{36AF698D-4D70-4ED0-94BE-9D53E95D005C}">
      <text>
        <r>
          <rPr>
            <b/>
            <sz val="12"/>
            <color indexed="81"/>
            <rFont val="Tahoma"/>
            <family val="2"/>
          </rPr>
          <t>Campo diligenciado por la Oficina de Control Interno.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7" authorId="0" shapeId="0" xr:uid="{00000000-0006-0000-0200-000001000000}">
      <text>
        <r>
          <rPr>
            <sz val="8"/>
            <color indexed="81"/>
            <rFont val="Tahoma"/>
            <family val="2"/>
          </rPr>
          <t>Porcentaje de acciones con estado 'Cumplido' sobre el total.</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<sst xmlns="http://schemas.openxmlformats.org/spreadsheetml/2006/main" count="262" uniqueCount="182">
  <si>
    <t>Lista_Fuente</t>
  </si>
  <si>
    <t>Tipo de Hallazgo</t>
  </si>
  <si>
    <t>Lista_Estado</t>
  </si>
  <si>
    <t>Proceso</t>
  </si>
  <si>
    <t>Lista_Riesgo</t>
  </si>
  <si>
    <t>Subsecretaría / Oficina</t>
  </si>
  <si>
    <t>Lista_Impacto</t>
  </si>
  <si>
    <t>Dependencia Responsable</t>
  </si>
  <si>
    <t>Peso_Riesgo</t>
  </si>
  <si>
    <t>Peso</t>
  </si>
  <si>
    <t>Peso_Impacto</t>
  </si>
  <si>
    <t>Umbral_proximo_vencer_dias</t>
  </si>
  <si>
    <t>Tipo de Acción</t>
  </si>
  <si>
    <t>Contraloría de Bogotá</t>
  </si>
  <si>
    <t>Oportunidad de Mejora</t>
  </si>
  <si>
    <t>Cumplida</t>
  </si>
  <si>
    <t>Direccionamiento Estratégico</t>
  </si>
  <si>
    <t>Alto</t>
  </si>
  <si>
    <t>Despacho</t>
  </si>
  <si>
    <t>Corrección</t>
  </si>
  <si>
    <t>Contraloría General de la República</t>
  </si>
  <si>
    <t xml:space="preserve">En Ejecución </t>
  </si>
  <si>
    <t xml:space="preserve">Administración del Sistema de Gestión </t>
  </si>
  <si>
    <t>Medio</t>
  </si>
  <si>
    <t>Oficina Asesora de Comunicaciones</t>
  </si>
  <si>
    <t>Acción Correctiva</t>
  </si>
  <si>
    <t>Veeduría Distrital</t>
  </si>
  <si>
    <t>Alertas y Riesgos</t>
  </si>
  <si>
    <t>Rezagada</t>
  </si>
  <si>
    <t>Participación y Relacionamiento con la Ciudadanía</t>
  </si>
  <si>
    <t>Bajo</t>
  </si>
  <si>
    <t>Oficina de Control Disciplinario Interno</t>
  </si>
  <si>
    <t>Acción Preventiva</t>
  </si>
  <si>
    <t>Seguimiento, Evaluación y Auditorías Internas</t>
  </si>
  <si>
    <t>Observación</t>
  </si>
  <si>
    <t>No iniciada</t>
  </si>
  <si>
    <t>Transformación Digital y Gestión Tecnológica</t>
  </si>
  <si>
    <t>Oficina de Control Interno</t>
  </si>
  <si>
    <t>Acción de Mejora</t>
  </si>
  <si>
    <t>Auditorías Externas</t>
  </si>
  <si>
    <t>Hallazgos de Incumplimiento o No Conformidad</t>
  </si>
  <si>
    <t>Incumplida</t>
  </si>
  <si>
    <t>Gestión y Producción de Información Sectorial</t>
  </si>
  <si>
    <t>Subsecretaría de Planeación y Política</t>
  </si>
  <si>
    <t>Acción de Mitigación</t>
  </si>
  <si>
    <t xml:space="preserve">Secretaría General </t>
  </si>
  <si>
    <t>Recomendación</t>
  </si>
  <si>
    <t xml:space="preserve">Modificada </t>
  </si>
  <si>
    <t>Comunicaciones Públicas y Estratégicas</t>
  </si>
  <si>
    <t>Subsecretaría de Gestión Financiera</t>
  </si>
  <si>
    <t>Acción de Contención</t>
  </si>
  <si>
    <t>Archivo de Bogotá</t>
  </si>
  <si>
    <t>Eliminada</t>
  </si>
  <si>
    <t>Formulación de Lineamientos, Seguimiento y Evaluación a los Instrumentos del Hábitat</t>
  </si>
  <si>
    <t>Subsecretaría de Coordinación Operativa</t>
  </si>
  <si>
    <t>Autoevluación</t>
  </si>
  <si>
    <t>Gestión Urbana para  Generación del Hábitat</t>
  </si>
  <si>
    <t>Subsecretaría de Inspección, Vigilancia y Control de Vivienda</t>
  </si>
  <si>
    <t>Otros</t>
  </si>
  <si>
    <t>Financiación de Soluciones para el acceso a la Vivienda</t>
  </si>
  <si>
    <t>Subsecretaria de Gestión Corporativa</t>
  </si>
  <si>
    <t>Promoción y Gestión de Servicios Públicos Domiciliarios y TIC</t>
  </si>
  <si>
    <t>Subsecretaría Jurídica</t>
  </si>
  <si>
    <t>Gestión Territorial del Hábitat</t>
  </si>
  <si>
    <t>Subdirección de Información Sectorial</t>
  </si>
  <si>
    <t>Si</t>
  </si>
  <si>
    <t>Control de Vivienda y Veeduría a las Curadurías</t>
  </si>
  <si>
    <t>Subdirección de Gestión del Suelo</t>
  </si>
  <si>
    <t>No</t>
  </si>
  <si>
    <t>Gestión Jurídica</t>
  </si>
  <si>
    <t>Subdirección de Programas y Proyectos</t>
  </si>
  <si>
    <t>Gestión Contractual</t>
  </si>
  <si>
    <t>Subdirección de Servicios Públicos</t>
  </si>
  <si>
    <t>Gestión de Talento Humano</t>
  </si>
  <si>
    <t>Subdirección de Recursos Públicos</t>
  </si>
  <si>
    <t>Gestión Financiera</t>
  </si>
  <si>
    <t>Subdirección de Apoyo a la Construcción</t>
  </si>
  <si>
    <t>Gestión de Bienes, Servicios e Infraestructura</t>
  </si>
  <si>
    <t>Subdirección de Barrios</t>
  </si>
  <si>
    <t>Gestión Documental</t>
  </si>
  <si>
    <t>Subdirección de Operaciones</t>
  </si>
  <si>
    <t>Control Disciplinario</t>
  </si>
  <si>
    <t>Subdirección de Participación y Relaciones con la Comunidad</t>
  </si>
  <si>
    <t>Evaluación, Asesoría y Mejoramiento</t>
  </si>
  <si>
    <t>Subdirección de Prevención y Seguimiento</t>
  </si>
  <si>
    <t>Subdirecci´n de Investigaciones y Control de Vivienda</t>
  </si>
  <si>
    <t>Subdirección Financiera</t>
  </si>
  <si>
    <t>Subdirección Administrativa</t>
  </si>
  <si>
    <t>PLAN DE MEJORAMIENTO</t>
  </si>
  <si>
    <t>FECHA
15/09/2025</t>
  </si>
  <si>
    <t>CÓDIGO
PE01-FO42</t>
  </si>
  <si>
    <t>VERSIÓN 11</t>
  </si>
  <si>
    <t>Tipo de Plan de Mejoramiento</t>
  </si>
  <si>
    <t>Radicado Fuente del Resultado</t>
  </si>
  <si>
    <t>Descripción del Resultado</t>
  </si>
  <si>
    <t>Causas</t>
  </si>
  <si>
    <t>Impacto</t>
  </si>
  <si>
    <t>Radicado Plan de Mejoramiento</t>
  </si>
  <si>
    <t>ID</t>
  </si>
  <si>
    <t>Acciones</t>
  </si>
  <si>
    <t>Tipología de la Acción</t>
  </si>
  <si>
    <t>Meta</t>
  </si>
  <si>
    <t>Indicador</t>
  </si>
  <si>
    <t>Proceso Responsable</t>
  </si>
  <si>
    <t>Fecha de Inicio</t>
  </si>
  <si>
    <t>Fecha de Cumplimiento</t>
  </si>
  <si>
    <t>Fecha Real de Ejecución</t>
  </si>
  <si>
    <t>% Avance</t>
  </si>
  <si>
    <t>Estado</t>
  </si>
  <si>
    <t>Riesgo (Alto/Medio/Bajo)</t>
  </si>
  <si>
    <t>Impacto (Alto/Medio/Bajo)</t>
  </si>
  <si>
    <t>Evidencia</t>
  </si>
  <si>
    <t>Seguimiento</t>
  </si>
  <si>
    <t>Días de rezago</t>
  </si>
  <si>
    <t>Criticidad (Riesgo x Impacto)</t>
  </si>
  <si>
    <t>Próximo a vencer (&lt;=60 días)</t>
  </si>
  <si>
    <t>Eficiencia</t>
  </si>
  <si>
    <t>Eficacia</t>
  </si>
  <si>
    <t>La acción se cumplió dentro del tiempo establecido?</t>
  </si>
  <si>
    <t>¿Se cumplieron todas las acciones relacionadas al hallazgo?</t>
  </si>
  <si>
    <t>¿La acción quedó bien documentada?</t>
  </si>
  <si>
    <t>¿Las evidencias son satisfactorias?</t>
  </si>
  <si>
    <t>¿Se superaron las causas y no hay recurrencia?</t>
  </si>
  <si>
    <t>Estado del Hallazgo</t>
  </si>
  <si>
    <t>Efectividad</t>
  </si>
  <si>
    <t>4. PLANEACIÓN CONTRACTUAL DENTRO DEL PROYECTO BPIN2021011010001 Y EJECUCIÓN DEL CONTRATO DE OBRA NO. 987 DE 2021(A4-D4-IP)</t>
  </si>
  <si>
    <t>No aceptación por parte de la CGR sobre los argumentos expuestos por la SDHT frente a que los estudios y diseños no coincidieron con lo encontrado en terreno, lo cual tuvo incidencia en la ejecución física, ajustes a los diseños, y derivó retrocesos en los procesos constructivos.</t>
  </si>
  <si>
    <t>4-21-1</t>
  </si>
  <si>
    <t>1. Realizar visitas periódicas a los polígonos de intervención verificando posibles cambios  morfológicos en el terreno y la normatividad urbanística aplicable al momento de ejecución.</t>
  </si>
  <si>
    <t>Realizar visitas trimestrales a los polígonos de intervención previo a los procesos de estructuración, formulación y adjudicación de contratos de obra.</t>
  </si>
  <si>
    <t>ABIERTO</t>
  </si>
  <si>
    <t>6. OBRAS PAGADAS SIN EJECUCIÓN (A6-D6-IP)</t>
  </si>
  <si>
    <t>No aceptación por parte de la CGR sobre los argumentos expuestos por la SDHT frente a que las vías ejecutadas parcialmente y que no hayan
alcanzando las actividades de construcción de andén y vías en concreto, no están prestando el servicio esperado por la comunidad beneficiaria.</t>
  </si>
  <si>
    <t>6-21-1</t>
  </si>
  <si>
    <t>Realizar fichas de valoración técnica por cada CIV, del CTO 987-2021, estableciendo cuales de las actividades ejecutadas se encuentran en servicio a la comunidad.</t>
  </si>
  <si>
    <t>Realizar de acta de visita a cada CIV del CTO 987-2021 que no haya alcanzado actividades de construcción de andén y vías en concreto.</t>
  </si>
  <si>
    <t>4. Constitución Cuentas por Pagar Distrito Bogotá. Administrativo con presunta incidencia Disciplinaria. (A - D).</t>
  </si>
  <si>
    <t>Deficiencias en seguimiento y supervisión de la cadena presupuestal para reconocimiento de subsidios con recursos SGP-APSB, así como no aplicación del estatuto orgánico de presupuesto, lo que resultó en pagos de obligaciones correspondientes a vigencias anteriores y en la generación de posibles pasivos exigibles por la destinación inapropiada de estos recursos.</t>
  </si>
  <si>
    <t>4-32-1</t>
  </si>
  <si>
    <t>1. Enviar un memorando a través del sistema de gestión, dirigido al ordenador del gasto y a la subdirección de servicios públicos, al finalizar la vigencia, con el fin de informar sobre las cuentas por pagar constituidas del fondo.</t>
  </si>
  <si>
    <t>Memorando con el propósito de informar sobre el estado de las cuentas por pagar constituidas del fondo, asegurando que se documenten adecuadamente todas las obligaciones pendientes y se mantenga un control preciso sobre los compromisos financieros, permitiendo una correcta gestión y seguimiento de los recursos al cierre de la vigencia.</t>
  </si>
  <si>
    <t>Radicado 3-2025-6366 del 04/07/2025</t>
  </si>
  <si>
    <t>5. Reconocimiento de subsidios de vigencias expiradas, Bogotá D.C. Administrativo con presunta incidencia Disciplinaria. (A - D).</t>
  </si>
  <si>
    <t>Deficiencias en cadena presupuestal y financiera, lo resultó en no reconocimiento oportuno de obligación correspondiente a subsidios del servicio de aseo 2018, generando pagos en 2022 con recursos no destinados para ese periodo que vulneró el principio presupuestal de anualidad y contravino disposiciones legales que prohíben financiar pasivos de vigencias anteriores con recursos del SGP</t>
  </si>
  <si>
    <t>5-32-1</t>
  </si>
  <si>
    <t>1. Enviar un reporte mensual detallado del fondo de solidaridad y redistribución del ingreso que incluya el estado presupuestal actualizado y un resumen de los pagos realizados durante el mes.</t>
  </si>
  <si>
    <t>Reporte con el estado presupuestal y los pagos realizados por mes vencido</t>
  </si>
  <si>
    <t>Radicado 3-2025-4392 del 12/05/2025 
Radicado 3-2025-1674 del 19/02/2025
Radicado 3-2025-2897 del 25/03/2025
Radicado 3-2025-3291 del 07/04/2025
Radicado 3-2025-4230 del 07/05/2025
Radicado 3-2025-5379 del 06/06/2025
Radicado 3-2025-6531 del 09/07/2025
Radicado 3-2025-8869 del 09/09/2025</t>
  </si>
  <si>
    <t>Valor</t>
  </si>
  <si>
    <t>Acciones totales</t>
  </si>
  <si>
    <t>Cumplidas</t>
  </si>
  <si>
    <t>En proceso</t>
  </si>
  <si>
    <t>Rezago</t>
  </si>
  <si>
    <t>No iniciadas</t>
  </si>
  <si>
    <t>% Cumplimiento</t>
  </si>
  <si>
    <t>Acciones críticas (Criticidad&gt;=6 y no cumplidas)</t>
  </si>
  <si>
    <t>Acciones próximas a vencer (&lt;=60 días)</t>
  </si>
  <si>
    <t>Tiempo promedio de rezago (días)</t>
  </si>
  <si>
    <t>Fuente</t>
  </si>
  <si>
    <t>Total</t>
  </si>
  <si>
    <t>Tablero de Control - Planes de Mejoramiento</t>
  </si>
  <si>
    <t>KPI Clave: % Cumplimiento (verde alto, rojo bajo)</t>
  </si>
  <si>
    <t>Acciones críticas (criticidad&gt;=6 y no cumplidas)</t>
  </si>
  <si>
    <t>Próximas a vencer (&lt;=30 días)</t>
  </si>
  <si>
    <t>Cómo usar:</t>
  </si>
  <si>
    <t>1) Ingrese todas las acciones en la hoja 'Base_Datos'. No borre filas, solo añada nuevas hasta 1000.</t>
  </si>
  <si>
    <t>2) Seleccione valores desde las listas desplegables (Fuente, Estado, Riesgo, Impacto).</t>
  </si>
  <si>
    <t>3) Los KPIs y gráficos se actualizan automáticamente con las fórmulas.</t>
  </si>
  <si>
    <t>4) 'Próximo a vencer' marca 'Sí' cuando faltan &lt;= 60 días para la fecha planificada y la acción no está cumplida.</t>
  </si>
  <si>
    <t>5) 'Criticidad' se calcula como Riesgo x Impacto (Alto=3, Medio=2, Bajo=1).</t>
  </si>
  <si>
    <t>PARA CIERRE DE LA CONTRALORÍA</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</si>
  <si>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3-2025-11427 del 14/11/2025
PDF “Visita CIV 19004107 Caracolí - Plan de Mejoramiento Accion de Mejora_3”
PDF “01.Visita CIV 19004130 Caracolí - Plan de Mejoramiento Accion de Mejora_3”
PDF “01.Visita CIV 19004131 Caracolí - Plan de Mejoramiento Accion de Mejora_3”
PDF “01.Visita CIV 19004172 Caracolí - Plan de Mejoramiento Accion de Mejora_3”
PDF “01.Visita CIV 19004213 Caracolí - Plan de Mejoramiento Accion deMejora_3”
PDF “01. Visita CIV 19004334 Caracolí - Plan de Mejoramiento Accion de Mejora_3”
PDF “Visita CIV 19004335 Caracolí - Plan de Mejoramiento Accion de Mejora_3”
PDF “Visita CIV 19004107 Caracolí - Plan de Mejoramiento Accion de Mejora_3”
PDF “Visita CIV 19004387 Caracolí - Plan de Mejoramiento Accion de Mejora_3”165 imágenes de los recorridos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General%20de%20la%20República%2FSGR&amp;viewid=6926112f-77b2-4660-9758-ffe6d5d67de1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Con radicado 3-2025-11427 se allegan 9 actas de recorrido y verificación de cambios morfológicos para los CIV 19004387, 19004130, 19004213, 19004172, 19004469, 19004334, 19004335, 19004131 y 19004107 las cuales cuentan de forma breve las situaciones observadas por los asistentes. Se logró evidenciar a través de los soportes remitidos por la dependencia la realización de las 4 visitas trimestrales de los 9 CIV.
</t>
    </r>
    <r>
      <rPr>
        <b/>
        <sz val="10"/>
        <color theme="1"/>
        <rFont val="Arial"/>
        <family val="2"/>
      </rPr>
      <t>AVANCE PORCENTUAL</t>
    </r>
    <r>
      <rPr>
        <sz val="10"/>
        <color theme="1"/>
        <rFont val="Arial"/>
        <family val="2"/>
      </rPr>
      <t xml:space="preserve">
100%
</t>
    </r>
    <r>
      <rPr>
        <b/>
        <sz val="10"/>
        <color theme="1"/>
        <rFont val="Arial"/>
        <family val="2"/>
      </rPr>
      <t>CONCEPTO</t>
    </r>
    <r>
      <rPr>
        <sz val="10"/>
        <color theme="1"/>
        <rFont val="Arial"/>
        <family val="2"/>
      </rPr>
      <t xml:space="preserve">
Se conceptúa la acción </t>
    </r>
    <r>
      <rPr>
        <b/>
        <sz val="10"/>
        <color theme="1"/>
        <rFont val="Arial"/>
        <family val="2"/>
      </rPr>
      <t>CUMPLIDA - DENTRO DE LOS TÉRMINOS y HALLAZGO PARA CIERRE DE LA CONTRALORÍA</t>
    </r>
    <r>
      <rPr>
        <sz val="10"/>
        <color theme="1"/>
        <rFont val="Arial"/>
        <family val="2"/>
      </rPr>
      <t xml:space="preserve">
'CORTE DEL SEGUIMIENTO Y EVALUACION
31 de agosto de 2025
EVIDENCIAS
Radicado 3-2025-5357 del 06/06/2025
Radicado 3-2025-6086 del 26/06/2025
PDF Acta de Visita de Obra a CIV 19004213 Tramo 514
PDF Acta de Visita de Obra a CIV 19004469 Tramo 514
PDF Acta de Visita de Obra a CIV 19004172 Tramo 515
PDF Acta de Visita de Obra a CIV 19004131 Tramo 517
PDF Acta de Visita de Obra a CIV 19004107 Tramo 518
PDF Acta de Visita de Obra a CIV 19004130 Tramo 516
PDF Acta de Visita de Obra a CIV 19004334 Tramo 516
PDF Acta de Visita de Obra a CIV 19004335 Tramo 519
PDF Acta de Visita de Obra a CIV 19004107 Tramo 518
UBICACIÓN DE LAS EVIDENCIAS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VALORACIÓN DE LAS EVIDENCIAS
Con radicados 3-2025-5357 y 3-2025-6086 se allegan 18 actas de recorrido y verificación de cambios morfológicos para los CIV 19004213, 19004469, 19004172, 19004131, 19004107, 19004130, 19004335. Avance del 50%. Esta acción no ha sido suscrita  en tanto no fue posible la habilitación del SIRECI.
Se aporta como evidencia nueve actas de recorrido y verificación de cambios morfológicos en los CIV anteriormente nombrados, las cuales cuentan de forma breve las situaciones observadas por los asistentes.
Esta acción esta establecida para ser realizada de forma trimestral, contando con una meta numérica de “4”, significando que, independientemente de cuantas visitas se hagan en el trimestre, se deben garantizar los recorridos de verificación.
Veces a realizar la acción = 4 veces = 100%; Cada verificación trimestral equivale al 25% = 100% / 4
AVANCE PORCENTUAL
50%
CONCEPTO
Se conceptúa la acción EN EJECUCIÓN - CON AVANCES - DENTRO DE LOS TÉRMINOS y HALLAZGO ABIERTO 
ALERTA
Agilizar la implementación de la acción dentro de las fechas programadas y allegar los soportes para valorar el estado de avance antes de que se cumpla el plazo de terminación.</t>
    </r>
  </si>
  <si>
    <t>Radicado 3-2025-11427 del 14/11/2025
PDF “Visita CIV 19004107 Caracolí - Plan de Mejoramiento Accion de Mejora_3”
PDF “01.Visita CIV 19004130 Caracolí - Plan de Mejoramiento Accion de Mejora_3”
PDF “01.Visita CIV 19004131 Caracolí - Plan de Mejoramiento Accion de Mejora_3”
PDF “01.Visita CIV 19004172 Caracolí - Plan de Mejoramiento Accion de Mejora_3”
PDF “01.Visita CIV 19004213 Caracolí - Plan de Mejoramiento Accion deMejora_3”
PDF “01. Visita CIV 19004334 Caracolí - Plan de Mejoramiento Accion de Mejora_3”
PDF “Visita CIV 19004335 Caracolí - Plan de Mejoramiento Accion de Mejora_3”
PDF “Visita CIV 19004107 Caracolí - Plan de Mejoramiento Accion de Mejora_3”
PDF “Visita CIV 19004387 Caracolí - Plan de Mejoramiento Accion de Mejora_3”165 imágenes de los recorridos
Radicado 3-2025-9764 del 01/10/2025
PDF “01. 20250812 Acta Visita CIV 19004387 CTO de obra  987-2021”
PDF “02. 20250812 Acta Visita CIV 19004387 CTO de obra  987-2021”
PDF “03. 20250812 Acta visita CIV 19004469 CTO de obra  987-2021”
PDF “04. 20250812 Acta Visita CIV 19004213 CTO de obra  987-2021”
PDF “05. 20250812 Acta Visita CIV 19004172 CTO de obra  987-2021”
PDF “06. 20250916 Acta visita CIV 19004335 CTO de obra  987-2021”
PDF “07. 20250916 Acta visita CIV 19004334 CTO de obra  987-2021”
PDF “08. 20250916 Acta visita CIV 19004131 CTO de obra  987-2021”
PDF “09. 20250916 Acta visita CIV 19004107 CTO de obra  987-2021”
Carpeta de archivo “Registro fotográfico” con 135 imágenes de recorrido
Radicado 3-2025-7809 del 12/08/2025
Radicado 3-2025-6086 del 26/06/2025
PDF “20250613 Acta Tramo 514 CIV 19004213 CTO de obra 987-2021”
PDF “20250613 Acta Tramo 514 CIV 19004469  CTO  de obra 987-2021”
PDF “20250613 Acta Tramo 515 CIV 19004172 CTO 987-2021”
PDF “20250613 Acta Tramo 515 - CIV 19004387 CTO  de obra 987-2021”
PDF “20250613 Acta Tramo 516 CIV 19004130 CTO de obra 987-2021”
PDF “20250613 Acta Tramo 516 CIV 19004334 CTO de obra 987-2021”
PDF “09. 20250613 Acta Tramo 517 CIV 19004131”
73 imágenes de los recorridos
Radicado 3-2025-5357 del 06/06/2025
PDF “20241218 Acta de Visita de Obra a CIV 19004213 Tramo 514 CTO  de obra 987-2021”
Archivo comprimido “Registro Fotográfico Diciembre  CIV 19004313 - Tramo 514” ZIP
PDF “20241218 Acta de Visita de Obra a CIV 19004469 Tramo 514  CTO  de obra 987-2021”
Archivo comprimido “Registro Fotográfico CIV 19004469 - Tramo 514” ZIP
PDF “20241218 Acta de Visita de Obra a CIV 19004172 Tramo 515  CTO  de obra 987-2021”
Archivo comprimido “Registro Fotográfico CIV 19004172 - Tramo 515”
PDF “20250123 Acta de Visita de Obra a CIV 19004387 Tramo 515  CTO  de obra 987-2021”
Archivo comprimido “Registro fotográfico CIV 19004387 - Tramo 515” ZIP
PDF “20250123 Acta de Visita de Obra a CIV 19004130 Tramo 516  CTO  de obra 987-2021”
Archivo comprimido “Registro fotográfico CIV 19004130 - Tramo 516” ZIP
PDF “20250129 Acta de Visita de Obra a CIV 19004334 Tramo 516  CTO  de obra 987-2021”
Archivo comprimido “Registro fotográfico CIV 19004334 - Tramo 516” ZIP
PDF “20250129 Acta de Visita de Obra a CIV 19004131 Tramo 517  CTO  de obra 987-2021”
Archivo comprimido “Registro fotográfico CIV 19004131 - Tramo 517” ZIP
PDF “20250205 Acta de Visita de Obra a CIV 19004107 Tramo 518  CTO  de obra 987-2021”
Archivo comprimido “Regitro fotográfico CIV 19004107 - Tramo 518” ZIP
PDF “20250205 Acta de Visita de Obra a CIV 19004335 Tramo 519  CTO  de obra 987-2021”
Archivo comprimido “Regitro fotográfico CIV 19004335 - Tramo 519” ZIP</t>
  </si>
  <si>
    <t>Radicado 3-2025-11427 del 14/11/2025
PDF “Visita CIV 19004107 Caracolí - Plan de Mejoramiento Accion de Mejora_3”
PDF “01.Visita CIV 19004130 Caracolí - Plan de Mejoramiento Accion de Mejora_3”
PDF “01.Visita CIV 19004131 Caracolí - Plan de Mejoramiento Accion de Mejora_3”
PDF “01.Visita CIV 19004172 Caracolí - Plan de Mejoramiento Accion de Mejora_3”
PDF “01.Visita CIV 19004213 Caracolí - Plan de Mejoramiento Accion deMejora_3”
PDF “01. Visita CIV 19004334 Caracolí - Plan de Mejoramiento Accion de Mejora_3”
PDF “Visita CIV 19004335 Caracolí - Plan de Mejoramiento Accion de Mejora_3”
PDF “Visita CIV 19004107 Caracolí - Plan de Mejoramiento Accion de Mejora_3”
PDF “Visita CIV 19004387 Caracolí - Plan de Mejoramiento Accion de Mejora_3”PDF “20251022  Visita CIV 19004700 Jerusalén - Plan de Mejoramiento Accion de Mejora_3”
PDF “20251022  Visita CIV 19004727 Jerusalén - Plan de Mejoramiento Accion de Mejora_3”
PDF “20251022  Visita CIV 19004728 Jerusalén - Plan de Mejoramiento Accion de Mejora_3.”
PDF “20251022 Visita CIV 19004606 Jerusalén - Plan de Mejoramiento Accion de Mejora_3”
PDF “20251022 Visita CIV 19004748 Jerusalén - Plan de Mejoramiento Accion de Mejora_3.”
165 imágenes de los recorridos
Radicado 3-2025-9764 del 01/10/2025
PDF “01. 20250812 Acta Visita CIV 19004387 CTO de obra  987-2021”
PDF “02. 20250812 Acta Visita CIV 19004387 CTO de obra  987-2021”
PDF “03. 20250812 Acta visita CIV 19004469 CTO de obra  987-2021”
PDF “04. 20250812 Acta Visita CIV 19004213 CTO de obra  987-2021”
PDF “05. 20250812 Acta Visita CIV 19004172 CTO de obra  987-2021”
PDF “06. 20250916 Acta visita CIV 19004335 CTO de obra  987-2021”
PDF “07. 20250916 Acta visita CIV 19004334 CTO de obra  987-2021”
PDF “08. 20250916 Acta visita CIV 19004131 CTO de obra  987-2021”
PDF “09. 20250916 Acta visita CIV 19004107 CTO de obra  987-2021”
Carpeta de archivo “Registro fotográfico” con 135 imágenes de recorrido
Radicado 3-2025-7809 del 12/08/2025
Radicado 3-2025-6086 del 26/06/2025
PDF “20250613 Acta Tramo 514 CIV 19004213 CTO de obra 987-2021”
PDF “20250613 Acta Tramo 514 CIV 19004469  CTO  de obra 987-2021”
PDF “20250613 Acta Tramo 515 CIV 19004172 CTO 987-2021”
PDF “20250613 Acta Tramo 515 - CIV 19004387 CTO  de obra 987-2021”
PDF “20250613 Acta Tramo 516 CIV 19004130 CTO de obra 987-2021”
PDF “20250613 Acta Tramo 516 CIV 19004334 CTO de obra 987-2021”
PDF “09. 20250613 Acta Tramo 517 CIV 19004131”
73 imágenes de los recorridos
Radicado 3-2025-5357 del 06/06/2025
PDF “20241218 Acta de Visita de Obra a CIV 19004213 Tramo 514 CTO  de obra 987-2021”
Archivo comprimido “Registro Fotográfico Diciembre  CIV 19004313 - Tramo 514” ZIP
PDF “20241218 Acta de Visita de Obra a CIV 19004469 Tramo 514  CTO  de obra 987-2021”
Archivo comprimido “Registro Fotográfico CIV 19004469 - Tramo 514” ZIP
PDF “20241218 Acta de Visita de Obra a CIV 19004172 Tramo 515  CTO  de obra 987-2021”
Archivo comprimido “Registro Fotográfico CIV 19004172 - Tramo 515”
PDF “20250123 Acta de Visita de Obra a CIV 19004387 Tramo 515  CTO  de obra 987-2021”
Archivo comprimido “Registro fotográfico CIV 19004387 - Tramo 515” ZIP
PDF “20250123 Acta de Visita de Obra a CIV 19004130 Tramo 516  CTO  de obra 987-2021”
Archivo comprimido “Registro fotográfico CIV 19004130 - Tramo 516” ZIP
PDF “20250129 Acta de Visita de Obra a CIV 19004334 Tramo 516  CTO  de obra 987-2021”
Archivo comprimido “Registro fotográfico CIV 19004334 - Tramo 516” ZIP
PDF “20250129 Acta de Visita de Obra a CIV 19004131 Tramo 517  CTO  de obra 987-2021”
Archivo comprimido “Registro fotográfico CIV 19004131 - Tramo 517” ZIP
PDF “20250205 Acta de Visita de Obra a CIV 19004107 Tramo 518  CTO  de obra 987-2021”
Archivo comprimido “Regitro fotográfico CIV 19004107 - Tramo 518” ZIP
PDF “20250205 Acta de Visita de Obra a CIV 19004335 Tramo 519  CTO  de obra 987-2021”
Archivo comprimido “Regitro fotográfico CIV 19004335 - Tramo 519” ZIP</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</si>
  <si>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3-2025-11427 del 14/11/2025
PDF “Visita CIV 19004107 Caracolí - Plan de Mejoramiento Accion de Mejora_3”
PDF “01.Visita CIV 19004130 Caracolí - Plan de Mejoramiento Accion de Mejora_3”
PDF “01.Visita CIV 19004131 Caracolí - Plan de Mejoramiento Accion de Mejora_3”
PDF “01.Visita CIV 19004172 Caracolí - Plan de Mejoramiento Accion de Mejora_3”
PDF “01.Visita CIV 19004213 Caracolí - Plan de Mejoramiento Accion deMejora_3”
PDF “01. Visita CIV 19004334 Caracolí - Plan de Mejoramiento Accion de Mejora_3”
PDF “Visita CIV 19004335 Caracolí - Plan de Mejoramiento Accion de Mejora_3”
PDF “Visita CIV 19004107 Caracolí - Plan de Mejoramiento Accion de Mejora_3”
PDF “Visita CIV 19004387 Caracolí - Plan de Mejoramiento Accion de Mejora_3”
PDF “20251022  Visita CIV 19004700 Jerusalén - Plan de Mejoramiento Accion de Mejora_3”
PDF “20251022  Visita CIV 19004727 Jerusalén - Plan de Mejoramiento Accion de Mejora_3”
PDF “20251022  Visita CIV 19004728 Jerusalén - Plan de Mejoramiento Accion de Mejora_3.”
PDF “20251022 Visita CIV 19004606 Jerusalén - Plan de Mejoramiento Accion de Mejora_3”
PDF “20251022 Visita CIV 19004748 Jerusalén - Plan de Mejoramiento Accion de Mejora_3.”
165 imágenes de los recorridos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General%20de%20la%20República%2FSGR&amp;viewid=6926112f-77b2-4660-9758-ffe6d5d67de1
Equipo asignado al Jefe de la Oficina de Control Interno carpeta  \\192.168.6.11\Control-Interno\2025\Plan de Mejoramiento CB y CGR
Sistema Integrado de Gestión Documental SIGA
</t>
    </r>
    <r>
      <rPr>
        <b/>
        <sz val="10"/>
        <color theme="1"/>
        <rFont val="Arial"/>
        <family val="2"/>
      </rPr>
      <t xml:space="preserve">VALORACIÓN DE LAS EVIDENCIAS
</t>
    </r>
    <r>
      <rPr>
        <sz val="10"/>
        <color theme="1"/>
        <rFont val="Arial"/>
        <family val="2"/>
      </rPr>
      <t xml:space="preserve">Con radicado 3-2025-11427 se allegan 9 actas de recorrido y verificación de cambios morfológicos para los CIV 19004387, 19004130, 19004213, 19004172, 19004469, 19004334, 19004335, 19004131 y 19004107 las cuales cuentan de forma breve las situaciones observadas por los asistentes. Se logró evidenciar a través de los soportes remitidos por la dependencia la realización de las 4 visitas trimestrales de los 9 CIV y el seguimiento de los CIV 19004700, 19004727, 19004728, 19004606 y 19004748, en donde se realizó la verificación de tramos que no haya alcanzado actividades de construcción de andén y vías en concreto.
</t>
    </r>
    <r>
      <rPr>
        <b/>
        <sz val="10"/>
        <color theme="1"/>
        <rFont val="Arial"/>
        <family val="2"/>
      </rPr>
      <t>AVANCE PORCENTUAL</t>
    </r>
    <r>
      <rPr>
        <sz val="10"/>
        <color theme="1"/>
        <rFont val="Arial"/>
        <family val="2"/>
      </rPr>
      <t xml:space="preserve">
100%
</t>
    </r>
    <r>
      <rPr>
        <b/>
        <sz val="10"/>
        <color theme="1"/>
        <rFont val="Arial"/>
        <family val="2"/>
      </rPr>
      <t>CONCEPTO</t>
    </r>
    <r>
      <rPr>
        <sz val="10"/>
        <color theme="1"/>
        <rFont val="Arial"/>
        <family val="2"/>
      </rPr>
      <t xml:space="preserve">
Se conceptúa la acción </t>
    </r>
    <r>
      <rPr>
        <b/>
        <sz val="10"/>
        <color theme="1"/>
        <rFont val="Arial"/>
        <family val="2"/>
      </rPr>
      <t xml:space="preserve">CUMPLIDA - DENTRO DE LOS TÉRMINOS y HALLAZGO PARA CIERRE DE LA CONTRALORÍA
'CORTE DEL SEGUIMIENTO Y EVALUACION
</t>
    </r>
    <r>
      <rPr>
        <sz val="10"/>
        <color theme="1"/>
        <rFont val="Arial"/>
        <family val="2"/>
      </rPr>
      <t>31 de agosto de 2025
EVIDENCIAS
Radicado 3-2025-5357 del 06/06/2025
Radicado 3-2025-6086 del 26/06/2025
PDF Acta de Visita de Obra a CIV 19004213 Tramo 514
PDF Acta de Visita de Obra a CIV 19004469 Tramo 514
PDF Acta de Visita de Obra a CIV 19004172 Tramo 515
PDF Acta de Visita de Obra a CIV 19004131 Tramo 517
PDF Acta de Visita de Obra a CIV 19004107 Tramo 518
PDF Acta de Visita de Obra a CIV 19004130 Tramo 516
PDF Acta de Visita de Obra a CIV 19004334 Tramo 516
PDF Acta de Visita de Obra a CIV 19004335 Tramo 519
PDF Acta de Visita de Obra a CIV 19004107 Tramo 518
UBICACIÓN DE LAS EVIDENCIAS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VALORACIÓN DE LAS EVIDENCIAS
Con radicados 3-2025-5357 y 3-2025-6086 se allegan 18 actas de recorrido y verificación de cambios morfológicos para los CIV 19004213, 19004469, 19004172, 19004131, 19004107, 19004130, 19004335. Avance del 50%. Esta acción no ha sido suscrita  en tanto no fue posible la habilitación del SIRECI.
Se aporta como evidencia nueve actas de recorrido y verificación de cambios morfológicos en los CIV anteriormente nombrados, las cuales cuentan de forma breve las situaciones observadas por los asistentes.
Esta acción esta establecida para ser realizada de forma trimestral, contando con una meta numérica de “4”, significando que, independientemente de cuantas visitas se hagan en el trimestre, se deben garantizar los recorridos de verificación.
Veces a realizar la acción = 4 veces = 100%; Cada verificación trimestral equivale al 25% = 100% / 4
AVANCE PORCENTUAL
50%
CONCEPTO
Se conceptúa la acción EN EJECUCIÓN - CON AVANCES - DENTRO DE LOS TÉRMINOS y HALLAZGO ABIERTO 
ALERTA
Agilizar la implementación de la acción dentro de las fechas programadas y allegar los soportes para valorar el estado de avance antes de que se cumpla el plazo de terminación.</t>
    </r>
  </si>
  <si>
    <t>Por determinar</t>
  </si>
  <si>
    <t>Subsecretaría de Intervenciones Integrales</t>
  </si>
  <si>
    <t>Despacho
Oficina Asesora de Planeación
Subsecretaría Corporativa</t>
  </si>
  <si>
    <t>Despacho
Oficina Asesora de Planeación – Dirección de Servicios Públicos
Subsecretaría Corporativa – Dirección Financiera</t>
  </si>
  <si>
    <t>Subsecretaría de Intervenciones Integrales – Dirección
de Hábitat y Entornos</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</si>
  <si>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No se allegaron soportes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Para este seguimiento no se allegaron soportes de avance de la acción.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t>
    </r>
    <r>
      <rPr>
        <b/>
        <sz val="10"/>
        <color theme="1"/>
        <rFont val="Arial"/>
        <family val="2"/>
      </rPr>
      <t xml:space="preserve"> SIN AVANCES – FUERA DE LOS TÉRMINOS y HALLAZGO ABIERTO. ACCIÓN INCUMPLIDA</t>
    </r>
    <r>
      <rPr>
        <sz val="10"/>
        <color theme="1"/>
        <rFont val="Arial"/>
        <family val="2"/>
      </rPr>
      <t xml:space="preserve">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Radicado 3-2025-6366 del 04/07/2025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Se aporta como evidencia el radicado descrito anteriormente, en el cual se indica: “que el estado de las cuentas por pagar constituidas del fondo será remitido en el mes de diciembre de 2025, dentro de los plazos establecidos en la mencionada actividad.” No se puede establecer avance dando que no se allegaron soportes.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REZAGADA - DENTRO DE LOS TÉRMINOS y HALLAZGO ABIERTO. ALTO RIESGO DE INCUMPLIMIENTO</t>
    </r>
    <r>
      <rPr>
        <sz val="10"/>
        <color theme="1"/>
        <rFont val="Arial"/>
        <family val="2"/>
      </rPr>
      <t xml:space="preserve">
</t>
    </r>
    <r>
      <rPr>
        <b/>
        <sz val="10"/>
        <color theme="1"/>
        <rFont val="Arial"/>
        <family val="2"/>
      </rPr>
      <t>ALERTA</t>
    </r>
    <r>
      <rPr>
        <sz val="10"/>
        <color theme="1"/>
        <rFont val="Arial"/>
        <family val="2"/>
      </rPr>
      <t xml:space="preserve">
Agilizar la implementación de la acción dentro de las fechas programadas y allegar los soportes para valorar el estado de avance antes de que se cumpla el plazo de terminación.</t>
    </r>
  </si>
  <si>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No se allegaron soportes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 xml:space="preserve">VALORACIÓN DE LAS EVIDENCIAS
</t>
    </r>
    <r>
      <rPr>
        <sz val="10"/>
        <color theme="1"/>
        <rFont val="Arial"/>
        <family val="2"/>
      </rPr>
      <t xml:space="preserve">Para este seguimiento no se allegaron soportes de avance de la acción.
</t>
    </r>
    <r>
      <rPr>
        <b/>
        <sz val="10"/>
        <color theme="1"/>
        <rFont val="Arial"/>
        <family val="2"/>
      </rPr>
      <t>AVANCE PORCENTUAL</t>
    </r>
    <r>
      <rPr>
        <sz val="10"/>
        <color theme="1"/>
        <rFont val="Arial"/>
        <family val="2"/>
      </rPr>
      <t xml:space="preserve">
67%
</t>
    </r>
    <r>
      <rPr>
        <b/>
        <sz val="10"/>
        <color theme="1"/>
        <rFont val="Arial"/>
        <family val="2"/>
      </rPr>
      <t>CONCEPTO</t>
    </r>
    <r>
      <rPr>
        <sz val="10"/>
        <color theme="1"/>
        <rFont val="Arial"/>
        <family val="2"/>
      </rPr>
      <t xml:space="preserve">
Se conceptúa la acción </t>
    </r>
    <r>
      <rPr>
        <b/>
        <sz val="10"/>
        <color theme="1"/>
        <rFont val="Arial"/>
        <family val="2"/>
      </rPr>
      <t xml:space="preserve">CON AVANCES – REZAGADA - DENTRO DE LOS TÉRMINOS y HALLAZGO ABIERTO.
</t>
    </r>
    <r>
      <rPr>
        <sz val="10"/>
        <color theme="1"/>
        <rFont val="Arial"/>
        <family val="2"/>
      </rPr>
      <t xml:space="preserve">
'</t>
    </r>
    <r>
      <rPr>
        <b/>
        <sz val="10"/>
        <color theme="1"/>
        <rFont val="Arial"/>
        <family val="2"/>
      </rPr>
      <t>CORTE DEL SEGUIMIENTO Y EVALUACION</t>
    </r>
    <r>
      <rPr>
        <sz val="10"/>
        <color theme="1"/>
        <rFont val="Arial"/>
        <family val="2"/>
      </rPr>
      <t xml:space="preserve">
31 de agosto de 2025
</t>
    </r>
    <r>
      <rPr>
        <b/>
        <sz val="10"/>
        <color theme="1"/>
        <rFont val="Arial"/>
        <family val="2"/>
      </rPr>
      <t xml:space="preserve">EVIDENCIAS
</t>
    </r>
    <r>
      <rPr>
        <sz val="10"/>
        <color theme="1"/>
        <rFont val="Arial"/>
        <family val="2"/>
      </rPr>
      <t xml:space="preserve">Radicado 3-2025-4392 del 12/05/2025 
Radicado 3-2025-1674 del 19/02/2025
Radicado 3-2025-2897 del 25/03/2025
Radicado 3-2025-3291 del 07/04/2025
Radicado 3-2025-4230 del 07/05/2025
Radicado 3-2025-5379 del 06/06/2025
Radicado 3-2025-6531 del 09/07/2025
Radicado 3-2025-8869 del 09/09/2025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Se aporta como evidencia los radicados nombrados anteriormente, en donde se hace llegar por parte de la Subdirección Financiera a la Subdirección de Servicios Públicos el seguimiento mensual a las cuentas de cobro presentadas por las diferentes entidades prestadoras de servicios públicos entre los meses de enero y mayo de 2025; en total se informa que se radicaron 84 cuentas durante el periodo y se discriminan las apropiaciones disponibles en cada uno de los rubros y sus diferentes fuentes, con el propósito de realizar un seguimiento a los montos ejecutados y los pagos efectuados.
</t>
    </r>
    <r>
      <rPr>
        <b/>
        <sz val="10"/>
        <color theme="1"/>
        <rFont val="Arial"/>
        <family val="2"/>
      </rPr>
      <t>AVANCE PORCENTUAL</t>
    </r>
    <r>
      <rPr>
        <sz val="10"/>
        <color theme="1"/>
        <rFont val="Arial"/>
        <family val="2"/>
      </rPr>
      <t xml:space="preserve">
66,67%
</t>
    </r>
    <r>
      <rPr>
        <b/>
        <sz val="10"/>
        <color theme="1"/>
        <rFont val="Arial"/>
        <family val="2"/>
      </rPr>
      <t>CONCEPTO</t>
    </r>
    <r>
      <rPr>
        <sz val="10"/>
        <color theme="1"/>
        <rFont val="Arial"/>
        <family val="2"/>
      </rPr>
      <t xml:space="preserve">
Se conceptúa la acción </t>
    </r>
    <r>
      <rPr>
        <b/>
        <sz val="10"/>
        <color theme="1"/>
        <rFont val="Arial"/>
        <family val="2"/>
      </rPr>
      <t xml:space="preserve">EN EJECUCIÓN - CON AVANCES -  DENTRO DE LOS PLAZOS y HALLAZGO ABIERTO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</si>
</sst>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0" x14ac:knownFonts="1">
    <font>
      <sz val="11"/>
      <color theme="1"/>
      <name val="Calibri"/>
      <family val="2"/>
      <scheme val="minor"/>
    </font>
    <font>
      <b/>
      <sz val="11"/>
      <color theme="1"/>
      <name val="Calibri"/>
      <family val="2"/>
      <scheme val="minor"/>
    </font>
    <font>
      <b/>
      <sz val="14"/>
      <color theme="1"/>
      <name val="Calibri"/>
      <family val="2"/>
      <scheme val="minor"/>
    </font>
    <font>
      <sz val="8"/>
      <color indexed="81"/>
      <name val="Tahoma"/>
      <family val="2"/>
    </font>
    <font>
      <b/>
      <sz val="12"/>
      <color indexed="81"/>
      <name val="Tahoma"/>
      <family val="2"/>
    </font>
    <font>
      <sz val="14"/>
      <color theme="1"/>
      <name val="Times New Roman"/>
      <family val="1"/>
    </font>
    <font>
      <b/>
      <sz val="14"/>
      <color theme="1"/>
      <name val="Times New Roman"/>
      <family val="1"/>
    </font>
    <font>
      <sz val="14"/>
      <name val="Times New Roman"/>
      <family val="1"/>
    </font>
    <font>
      <sz val="14"/>
      <color theme="0"/>
      <name val="Times New Roman"/>
      <family val="1"/>
    </font>
    <font>
      <sz val="11"/>
      <color theme="1"/>
      <name val="Times New Roman"/>
      <family val="1"/>
    </font>
    <font>
      <b/>
      <sz val="16"/>
      <color theme="1"/>
      <name val="Times New Roman"/>
      <family val="1"/>
    </font>
    <font>
      <sz val="10"/>
      <name val="Arial"/>
      <family val="2"/>
    </font>
    <font>
      <b/>
      <sz val="14"/>
      <color theme="1"/>
      <name val="Arial"/>
      <family val="2"/>
    </font>
    <font>
      <sz val="14"/>
      <name val="Arial"/>
      <family val="2"/>
    </font>
    <font>
      <b/>
      <sz val="14"/>
      <name val="Arial"/>
      <family val="2"/>
    </font>
    <font>
      <sz val="14"/>
      <color theme="1"/>
      <name val="Arial"/>
      <family val="2"/>
    </font>
    <font>
      <sz val="8"/>
      <name val="Calibri"/>
      <family val="2"/>
      <scheme val="minor"/>
    </font>
    <font>
      <sz val="11"/>
      <color theme="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rgb="FFD9E1F2"/>
        <bgColor indexed="64"/>
      </patternFill>
    </fill>
    <fill>
      <patternFill patternType="solid">
        <fgColor rgb="FF92D050"/>
        <bgColor indexed="64"/>
      </patternFill>
    </fill>
    <fill>
      <patternFill patternType="solid">
        <fgColor theme="0"/>
        <bgColor indexed="64"/>
      </patternFill>
    </fill>
    <fill>
      <patternFill patternType="solid">
        <fgColor theme="6" tint="0.39997558519241921"/>
        <bgColor indexed="64"/>
      </patternFill>
    </fill>
    <fill>
      <patternFill patternType="solid">
        <fgColor rgb="FF0070C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0" fontId="11" fillId="0" borderId="0"/>
    <xf numFmtId="0" fontId="11" fillId="0" borderId="0"/>
    <xf numFmtId="9" fontId="17" fillId="0" borderId="0" applyFont="0" applyFill="0" applyBorder="0" applyAlignment="0" applyProtection="0"/>
  </cellStyleXfs>
  <cellXfs count="57">
    <xf numFmtId="0" fontId="0" fillId="0" borderId="0" xfId="0"/>
    <xf numFmtId="0" fontId="1" fillId="2" borderId="0" xfId="0" applyFont="1" applyFill="1" applyAlignment="1">
      <alignment horizontal="center"/>
    </xf>
    <xf numFmtId="9" fontId="0" fillId="0" borderId="0" xfId="0" applyNumberFormat="1"/>
    <xf numFmtId="0" fontId="2" fillId="0" borderId="0" xfId="0" applyFont="1"/>
    <xf numFmtId="0" fontId="1" fillId="0" borderId="0" xfId="0" applyFont="1"/>
    <xf numFmtId="0" fontId="0" fillId="0" borderId="0" xfId="0" applyAlignment="1">
      <alignment wrapText="1"/>
    </xf>
    <xf numFmtId="0" fontId="0" fillId="0" borderId="0" xfId="0" applyAlignment="1">
      <alignment horizont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0" xfId="0" applyFont="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xf>
    <xf numFmtId="1" fontId="7"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9" fontId="13" fillId="0" borderId="1" xfId="0" applyNumberFormat="1" applyFont="1" applyBorder="1" applyAlignment="1">
      <alignment horizontal="center" vertical="center"/>
    </xf>
    <xf numFmtId="0" fontId="13" fillId="0" borderId="1" xfId="0" applyFont="1" applyBorder="1" applyAlignment="1">
      <alignment vertical="center" wrapText="1"/>
    </xf>
    <xf numFmtId="14" fontId="13"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3" fillId="0" borderId="1" xfId="0" applyFont="1" applyBorder="1" applyAlignment="1">
      <alignment horizontal="left" vertical="center"/>
    </xf>
    <xf numFmtId="0" fontId="12"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3" fillId="0" borderId="1" xfId="0" applyFont="1" applyBorder="1" applyAlignment="1">
      <alignment horizontal="justify" vertical="center" wrapText="1"/>
    </xf>
    <xf numFmtId="0" fontId="7" fillId="0" borderId="2" xfId="0" applyFont="1" applyBorder="1" applyAlignment="1">
      <alignment horizontal="center" vertical="center"/>
    </xf>
    <xf numFmtId="0" fontId="15" fillId="0" borderId="1" xfId="0" quotePrefix="1" applyFont="1" applyBorder="1" applyAlignment="1" applyProtection="1">
      <alignment horizontal="center" vertical="center" wrapText="1"/>
      <protection locked="0"/>
    </xf>
    <xf numFmtId="0" fontId="18" fillId="4" borderId="3" xfId="0" quotePrefix="1" applyFont="1" applyFill="1" applyBorder="1" applyAlignment="1" applyProtection="1">
      <alignment horizontal="left" vertical="center" wrapText="1"/>
      <protection locked="0"/>
    </xf>
    <xf numFmtId="0" fontId="18" fillId="0" borderId="3" xfId="0" quotePrefix="1" applyFont="1" applyBorder="1" applyAlignment="1" applyProtection="1">
      <alignment horizontal="left" vertical="center" wrapText="1"/>
      <protection locked="0"/>
    </xf>
    <xf numFmtId="0" fontId="7" fillId="0" borderId="1" xfId="0" applyFont="1" applyBorder="1" applyAlignment="1">
      <alignment vertical="center"/>
    </xf>
    <xf numFmtId="9" fontId="13" fillId="0" borderId="1" xfId="3" applyFont="1" applyBorder="1" applyAlignment="1">
      <alignment horizontal="center" vertical="center" wrapText="1"/>
    </xf>
    <xf numFmtId="0" fontId="8" fillId="0" borderId="0" xfId="0" applyFont="1" applyAlignment="1">
      <alignment vertical="center"/>
    </xf>
    <xf numFmtId="0" fontId="5" fillId="0" borderId="0" xfId="0" applyFont="1" applyAlignment="1">
      <alignment vertical="center"/>
    </xf>
    <xf numFmtId="0" fontId="5" fillId="0" borderId="0" xfId="0" applyFont="1" applyAlignment="1">
      <alignment vertical="center" wrapText="1"/>
    </xf>
    <xf numFmtId="0" fontId="7" fillId="0" borderId="0" xfId="0" applyFont="1" applyAlignment="1">
      <alignment vertical="center"/>
    </xf>
    <xf numFmtId="164" fontId="7" fillId="0" borderId="1" xfId="0" applyNumberFormat="1" applyFont="1" applyBorder="1" applyAlignment="1">
      <alignment horizontal="center" vertical="center"/>
    </xf>
    <xf numFmtId="1" fontId="7" fillId="0" borderId="1" xfId="0" applyNumberFormat="1" applyFont="1" applyBorder="1" applyAlignment="1">
      <alignment vertical="center"/>
    </xf>
    <xf numFmtId="0" fontId="7" fillId="0" borderId="1" xfId="0" applyFont="1" applyBorder="1" applyAlignment="1">
      <alignment vertical="center" wrapText="1"/>
    </xf>
    <xf numFmtId="9" fontId="14" fillId="0" borderId="1" xfId="3" applyFont="1" applyBorder="1" applyAlignment="1">
      <alignment horizontal="center" vertical="center"/>
    </xf>
    <xf numFmtId="1" fontId="7" fillId="0" borderId="1" xfId="0" applyNumberFormat="1" applyFont="1" applyBorder="1" applyAlignment="1">
      <alignment vertical="center" wrapText="1"/>
    </xf>
    <xf numFmtId="9" fontId="14" fillId="0" borderId="1" xfId="3" applyFont="1" applyBorder="1" applyAlignment="1">
      <alignment horizontal="center" vertical="center" wrapText="1"/>
    </xf>
    <xf numFmtId="0" fontId="7" fillId="0" borderId="0" xfId="0" applyFont="1" applyAlignment="1">
      <alignment vertical="center" wrapText="1"/>
    </xf>
    <xf numFmtId="164" fontId="8" fillId="0" borderId="0" xfId="0" applyNumberFormat="1" applyFont="1" applyAlignment="1">
      <alignment horizontal="center" vertical="center"/>
    </xf>
    <xf numFmtId="1" fontId="8" fillId="0" borderId="0" xfId="0" applyNumberFormat="1" applyFont="1" applyAlignment="1">
      <alignment vertical="center"/>
    </xf>
    <xf numFmtId="164" fontId="5" fillId="0" borderId="0" xfId="0" applyNumberFormat="1" applyFont="1" applyAlignment="1">
      <alignment horizontal="center" vertical="center"/>
    </xf>
    <xf numFmtId="1" fontId="5" fillId="0" borderId="0" xfId="0" applyNumberFormat="1" applyFont="1" applyAlignment="1">
      <alignment vertical="center"/>
    </xf>
    <xf numFmtId="1" fontId="7" fillId="0" borderId="2" xfId="0" applyNumberFormat="1" applyFont="1" applyBorder="1" applyAlignment="1">
      <alignment horizontal="center" vertical="center"/>
    </xf>
    <xf numFmtId="1" fontId="8" fillId="0" borderId="0" xfId="0" applyNumberFormat="1" applyFont="1" applyAlignment="1">
      <alignment horizontal="center" vertical="center"/>
    </xf>
    <xf numFmtId="1" fontId="5" fillId="0" borderId="0" xfId="0" applyNumberFormat="1"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center" vertical="center"/>
    </xf>
    <xf numFmtId="0" fontId="11" fillId="0" borderId="1" xfId="0" applyFont="1" applyBorder="1" applyAlignment="1">
      <alignment vertical="center" wrapText="1"/>
    </xf>
    <xf numFmtId="0" fontId="18" fillId="5" borderId="3" xfId="0" quotePrefix="1" applyFont="1" applyFill="1" applyBorder="1" applyAlignment="1" applyProtection="1">
      <alignment horizontal="left" vertical="center" wrapText="1"/>
      <protection locked="0"/>
    </xf>
    <xf numFmtId="0" fontId="7" fillId="6"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cellXfs>
  <cellStyles count="4">
    <cellStyle name="Normal" xfId="0" builtinId="0"/>
    <cellStyle name="Normal 2" xfId="2" xr:uid="{A152F481-C50E-42A8-9EE3-71F6524C43AB}"/>
    <cellStyle name="Normal 3" xfId="1" xr:uid="{36016F94-7AEC-4006-B0ED-9993E4A9FBE1}"/>
    <cellStyle name="Porcentaje" xfId="3" builtinId="5"/>
  </cellStyles>
  <dxfs count="12">
    <dxf>
      <fill>
        <patternFill>
          <bgColor rgb="FF00FF00"/>
        </patternFill>
      </fill>
    </dxf>
    <dxf>
      <fill>
        <patternFill>
          <bgColor rgb="FFFF0000"/>
        </patternFill>
      </fill>
    </dxf>
    <dxf>
      <fill>
        <patternFill>
          <bgColor rgb="FF00FF00"/>
        </patternFill>
      </fill>
    </dxf>
    <dxf>
      <fill>
        <patternFill>
          <bgColor rgb="FFFFFF00"/>
        </patternFill>
      </fill>
    </dxf>
    <dxf>
      <fill>
        <patternFill>
          <bgColor rgb="FFFFC000"/>
        </patternFill>
      </fill>
    </dxf>
    <dxf>
      <fill>
        <patternFill>
          <bgColor rgb="FFFF0000"/>
        </patternFill>
      </fill>
    </dxf>
    <dxf>
      <font>
        <b/>
      </font>
      <fill>
        <patternFill>
          <bgColor rgb="FFFF0000"/>
        </patternFill>
      </fill>
    </dxf>
    <dxf>
      <font>
        <b/>
      </font>
      <fill>
        <patternFill>
          <bgColor rgb="FFFF0000"/>
        </patternFill>
      </fill>
    </dxf>
    <dxf>
      <fill>
        <patternFill>
          <bgColor rgb="FFE7E6E6"/>
        </patternFill>
      </fill>
    </dxf>
    <dxf>
      <fill>
        <patternFill>
          <bgColor rgb="FFFFC7CE"/>
        </patternFill>
      </fill>
    </dxf>
    <dxf>
      <fill>
        <patternFill>
          <bgColor rgb="FFFFEB9C"/>
        </patternFill>
      </fill>
    </dxf>
    <dxf>
      <fill>
        <patternFill>
          <bgColor rgb="FFC6EFCE"/>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Distribución por Estado</a:t>
            </a:r>
          </a:p>
        </c:rich>
      </c:tx>
      <c:overlay val="0"/>
    </c:title>
    <c:autoTitleDeleted val="0"/>
    <c:plotArea>
      <c:layout/>
      <c:pieChart>
        <c:varyColors val="1"/>
        <c:ser>
          <c:idx val="0"/>
          <c:order val="0"/>
          <c:tx>
            <c:v>Distribución por Estado</c:v>
          </c:tx>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Resumenes!$D$2:$D$5</c:f>
              <c:strCache>
                <c:ptCount val="4"/>
                <c:pt idx="0">
                  <c:v>Cumplida</c:v>
                </c:pt>
                <c:pt idx="1">
                  <c:v>En Ejecución </c:v>
                </c:pt>
                <c:pt idx="2">
                  <c:v>Rezagada</c:v>
                </c:pt>
                <c:pt idx="3">
                  <c:v>No iniciada</c:v>
                </c:pt>
              </c:strCache>
            </c:strRef>
          </c:cat>
          <c:val>
            <c:numRef>
              <c:f>Resumenes!$E$2:$E$5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9E91-46A8-AC6D-AFF180815B10}"/>
            </c:ext>
          </c:extLst>
        </c:ser>
        <c:dLbls>
          <c:showLegendKey val="0"/>
          <c:showVal val="0"/>
          <c:showCatName val="0"/>
          <c:showSerName val="0"/>
          <c:showPercent val="0"/>
          <c:showBubbleSize val="0"/>
          <c:showLeaderLines val="0"/>
        </c:dLbls>
        <c:firstSliceAng val="0"/>
      </c:pieChart>
    </c:plotArea>
    <c:legend>
      <c:legendPos val="r"/>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Acciones por Fuente</a:t>
            </a:r>
          </a:p>
        </c:rich>
      </c:tx>
      <c:overlay val="0"/>
    </c:title>
    <c:autoTitleDeleted val="0"/>
    <c:plotArea>
      <c:layout/>
      <c:barChart>
        <c:barDir val="col"/>
        <c:grouping val="clustered"/>
        <c:varyColors val="0"/>
        <c:ser>
          <c:idx val="0"/>
          <c:order val="0"/>
          <c:tx>
            <c:v>Acciones por Fuente</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Resumenes!$A$2:$A$5</c:f>
              <c:strCache>
                <c:ptCount val="4"/>
                <c:pt idx="0">
                  <c:v>Contraloría de Bogotá</c:v>
                </c:pt>
                <c:pt idx="1">
                  <c:v>Contraloría General de la República</c:v>
                </c:pt>
                <c:pt idx="2">
                  <c:v>Veeduría Distrital</c:v>
                </c:pt>
                <c:pt idx="3">
                  <c:v>Seguimiento, Evaluación y Auditorías Internas</c:v>
                </c:pt>
              </c:strCache>
            </c:strRef>
          </c:cat>
          <c:val>
            <c:numRef>
              <c:f>Resumenes!$B$2:$B$5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B30E-4CB2-96D6-2B01FC711A51}"/>
            </c:ext>
          </c:extLst>
        </c:ser>
        <c:dLbls>
          <c:showLegendKey val="0"/>
          <c:showVal val="0"/>
          <c:showCatName val="0"/>
          <c:showSerName val="0"/>
          <c:showPercent val="0"/>
          <c:showBubbleSize val="0"/>
        </c:dLbls>
        <c:gapWidth val="150"/>
        <c:axId val="50020001"/>
        <c:axId val="50020002"/>
      </c:barChart>
      <c:catAx>
        <c:axId val="50020001"/>
        <c:scaling>
          <c:orientation val="minMax"/>
        </c:scaling>
        <c:delete val="0"/>
        <c:axPos val="b"/>
        <c:title>
          <c:tx>
            <c:rich>
              <a:bodyPr/>
              <a:lstStyle/>
              <a:p>
                <a:pPr>
                  <a:defRPr/>
                </a:pPr>
                <a:r>
                  <a:rPr lang="en-US"/>
                  <a:t>Fuente</a:t>
                </a:r>
              </a:p>
            </c:rich>
          </c:tx>
          <c:overlay val="0"/>
        </c:title>
        <c:numFmt formatCode="General" sourceLinked="0"/>
        <c:majorTickMark val="out"/>
        <c:minorTickMark val="none"/>
        <c:tickLblPos val="nextTo"/>
        <c:crossAx val="50020002"/>
        <c:crosses val="autoZero"/>
        <c:auto val="1"/>
        <c:lblAlgn val="ctr"/>
        <c:lblOffset val="100"/>
        <c:noMultiLvlLbl val="0"/>
      </c:catAx>
      <c:valAx>
        <c:axId val="50020002"/>
        <c:scaling>
          <c:orientation val="minMax"/>
        </c:scaling>
        <c:delete val="0"/>
        <c:axPos val="l"/>
        <c:majorGridlines/>
        <c:title>
          <c:tx>
            <c:rich>
              <a:bodyPr/>
              <a:lstStyle/>
              <a:p>
                <a:pPr>
                  <a:defRPr/>
                </a:pPr>
                <a:r>
                  <a:rPr lang="en-US"/>
                  <a:t>Total de acciones</a:t>
                </a:r>
              </a:p>
            </c:rich>
          </c:tx>
          <c:overlay val="0"/>
        </c:title>
        <c:numFmt formatCode="General" sourceLinked="1"/>
        <c:majorTickMark val="out"/>
        <c:minorTickMark val="none"/>
        <c:tickLblPos val="nextTo"/>
        <c:crossAx val="50020001"/>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0</xdr:colOff>
      <xdr:row>2</xdr:row>
      <xdr:rowOff>0</xdr:rowOff>
    </xdr:from>
    <xdr:to>
      <xdr:col>12</xdr:col>
      <xdr:colOff>0</xdr:colOff>
      <xdr:row>19</xdr:row>
      <xdr:rowOff>57150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19</xdr:row>
      <xdr:rowOff>0</xdr:rowOff>
    </xdr:from>
    <xdr:to>
      <xdr:col>12</xdr:col>
      <xdr:colOff>457200</xdr:colOff>
      <xdr:row>36</xdr:row>
      <xdr:rowOff>57150</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4"/>
  <sheetViews>
    <sheetView topLeftCell="C1" workbookViewId="0">
      <selection activeCell="C7" sqref="C7"/>
    </sheetView>
  </sheetViews>
  <sheetFormatPr baseColWidth="10" defaultColWidth="9.140625" defaultRowHeight="15" x14ac:dyDescent="0.25"/>
  <cols>
    <col min="1" max="1" width="42.85546875" customWidth="1"/>
    <col min="2" max="2" width="26.42578125" customWidth="1"/>
    <col min="3" max="3" width="59.7109375" customWidth="1"/>
    <col min="4" max="4" width="29.85546875" customWidth="1"/>
    <col min="5" max="5" width="17.7109375" customWidth="1"/>
    <col min="6" max="6" width="22.28515625" customWidth="1"/>
    <col min="7" max="7" width="15.7109375" customWidth="1"/>
    <col min="8" max="8" width="49.42578125" customWidth="1"/>
    <col min="9" max="9" width="18.42578125" customWidth="1"/>
    <col min="10" max="10" width="18.5703125" customWidth="1"/>
    <col min="11" max="11" width="16" customWidth="1"/>
    <col min="12" max="12" width="13.28515625" customWidth="1"/>
    <col min="13" max="13" width="21.42578125" customWidth="1"/>
    <col min="14" max="14" width="17.28515625" customWidth="1"/>
  </cols>
  <sheetData>
    <row r="1" spans="1:14" x14ac:dyDescent="0.25">
      <c r="A1" s="1" t="s">
        <v>0</v>
      </c>
      <c r="B1" s="1" t="s">
        <v>1</v>
      </c>
      <c r="C1" s="1" t="s">
        <v>2</v>
      </c>
      <c r="D1" s="1" t="s">
        <v>3</v>
      </c>
      <c r="E1" s="1" t="s">
        <v>4</v>
      </c>
      <c r="F1" s="1" t="s">
        <v>5</v>
      </c>
      <c r="G1" s="1" t="s">
        <v>6</v>
      </c>
      <c r="H1" s="1" t="s">
        <v>7</v>
      </c>
      <c r="I1" s="1" t="s">
        <v>8</v>
      </c>
      <c r="J1" s="1" t="s">
        <v>9</v>
      </c>
      <c r="K1" s="1" t="s">
        <v>10</v>
      </c>
      <c r="L1" s="1" t="s">
        <v>9</v>
      </c>
      <c r="M1" s="1" t="s">
        <v>11</v>
      </c>
      <c r="N1" s="1" t="s">
        <v>12</v>
      </c>
    </row>
    <row r="2" spans="1:14" x14ac:dyDescent="0.25">
      <c r="A2" s="6" t="s">
        <v>13</v>
      </c>
      <c r="B2" s="6" t="s">
        <v>14</v>
      </c>
      <c r="C2" s="6" t="s">
        <v>15</v>
      </c>
      <c r="D2" s="6" t="s">
        <v>16</v>
      </c>
      <c r="E2" s="6" t="s">
        <v>17</v>
      </c>
      <c r="F2" t="s">
        <v>18</v>
      </c>
      <c r="G2" s="6" t="s">
        <v>17</v>
      </c>
      <c r="H2" t="s">
        <v>18</v>
      </c>
      <c r="I2" s="6" t="s">
        <v>17</v>
      </c>
      <c r="J2" s="6">
        <v>3</v>
      </c>
      <c r="K2" s="6" t="s">
        <v>17</v>
      </c>
      <c r="L2" s="6">
        <v>3</v>
      </c>
      <c r="M2" s="6">
        <v>60</v>
      </c>
      <c r="N2" t="s">
        <v>19</v>
      </c>
    </row>
    <row r="3" spans="1:14" x14ac:dyDescent="0.25">
      <c r="A3" s="6" t="s">
        <v>20</v>
      </c>
      <c r="B3" s="6" t="s">
        <v>19</v>
      </c>
      <c r="C3" s="6" t="s">
        <v>21</v>
      </c>
      <c r="D3" s="6" t="s">
        <v>22</v>
      </c>
      <c r="E3" s="6" t="s">
        <v>23</v>
      </c>
      <c r="F3" t="s">
        <v>24</v>
      </c>
      <c r="G3" s="6" t="s">
        <v>23</v>
      </c>
      <c r="H3" t="s">
        <v>24</v>
      </c>
      <c r="I3" s="6" t="s">
        <v>23</v>
      </c>
      <c r="J3" s="6">
        <v>2</v>
      </c>
      <c r="K3" s="6" t="s">
        <v>23</v>
      </c>
      <c r="L3" s="6">
        <v>2</v>
      </c>
      <c r="M3" s="6"/>
      <c r="N3" t="s">
        <v>25</v>
      </c>
    </row>
    <row r="4" spans="1:14" x14ac:dyDescent="0.25">
      <c r="A4" s="6" t="s">
        <v>26</v>
      </c>
      <c r="B4" s="6" t="s">
        <v>27</v>
      </c>
      <c r="C4" s="6" t="s">
        <v>28</v>
      </c>
      <c r="D4" s="6" t="s">
        <v>29</v>
      </c>
      <c r="E4" s="6" t="s">
        <v>30</v>
      </c>
      <c r="F4" t="s">
        <v>31</v>
      </c>
      <c r="G4" s="6" t="s">
        <v>30</v>
      </c>
      <c r="H4" t="s">
        <v>31</v>
      </c>
      <c r="I4" s="6" t="s">
        <v>30</v>
      </c>
      <c r="J4" s="6">
        <v>1</v>
      </c>
      <c r="K4" s="6" t="s">
        <v>30</v>
      </c>
      <c r="L4" s="6">
        <v>1</v>
      </c>
      <c r="M4" s="6"/>
      <c r="N4" t="s">
        <v>32</v>
      </c>
    </row>
    <row r="5" spans="1:14" x14ac:dyDescent="0.25">
      <c r="A5" s="6" t="s">
        <v>33</v>
      </c>
      <c r="B5" s="6" t="s">
        <v>34</v>
      </c>
      <c r="C5" s="6" t="s">
        <v>35</v>
      </c>
      <c r="D5" s="6" t="s">
        <v>36</v>
      </c>
      <c r="E5" s="6"/>
      <c r="F5" t="s">
        <v>37</v>
      </c>
      <c r="G5" s="6"/>
      <c r="H5" t="s">
        <v>37</v>
      </c>
      <c r="I5" s="6"/>
      <c r="J5" s="6"/>
      <c r="K5" s="6"/>
      <c r="L5" s="6"/>
      <c r="M5" s="6"/>
      <c r="N5" t="s">
        <v>38</v>
      </c>
    </row>
    <row r="6" spans="1:14" x14ac:dyDescent="0.25">
      <c r="A6" s="6" t="s">
        <v>39</v>
      </c>
      <c r="B6" s="6" t="s">
        <v>40</v>
      </c>
      <c r="C6" s="6" t="s">
        <v>41</v>
      </c>
      <c r="D6" s="6" t="s">
        <v>42</v>
      </c>
      <c r="E6" s="6"/>
      <c r="F6" t="s">
        <v>43</v>
      </c>
      <c r="G6" s="6"/>
      <c r="H6" t="s">
        <v>43</v>
      </c>
      <c r="I6" s="6"/>
      <c r="J6" s="6"/>
      <c r="K6" s="6"/>
      <c r="L6" s="6"/>
      <c r="M6" s="6"/>
      <c r="N6" t="s">
        <v>44</v>
      </c>
    </row>
    <row r="7" spans="1:14" x14ac:dyDescent="0.25">
      <c r="A7" s="6" t="s">
        <v>45</v>
      </c>
      <c r="B7" s="6" t="s">
        <v>46</v>
      </c>
      <c r="C7" s="6" t="s">
        <v>47</v>
      </c>
      <c r="D7" s="6" t="s">
        <v>48</v>
      </c>
      <c r="E7" s="6"/>
      <c r="F7" t="s">
        <v>49</v>
      </c>
      <c r="G7" s="6"/>
      <c r="H7" t="s">
        <v>49</v>
      </c>
      <c r="I7" s="6"/>
      <c r="J7" s="6"/>
      <c r="K7" s="6"/>
      <c r="L7" s="6"/>
      <c r="M7" s="6"/>
      <c r="N7" t="s">
        <v>50</v>
      </c>
    </row>
    <row r="8" spans="1:14" x14ac:dyDescent="0.25">
      <c r="A8" s="6" t="s">
        <v>51</v>
      </c>
      <c r="B8" s="6"/>
      <c r="C8" s="6" t="s">
        <v>52</v>
      </c>
      <c r="D8" s="6" t="s">
        <v>53</v>
      </c>
      <c r="E8" s="6"/>
      <c r="F8" t="s">
        <v>54</v>
      </c>
      <c r="G8" s="6"/>
      <c r="H8" t="s">
        <v>54</v>
      </c>
      <c r="I8" s="6"/>
      <c r="J8" s="6"/>
      <c r="K8" s="6"/>
      <c r="L8" s="6"/>
      <c r="M8" s="6"/>
    </row>
    <row r="9" spans="1:14" x14ac:dyDescent="0.25">
      <c r="A9" s="6" t="s">
        <v>55</v>
      </c>
      <c r="B9" s="6"/>
      <c r="C9" s="6"/>
      <c r="D9" s="6" t="s">
        <v>56</v>
      </c>
      <c r="E9" s="6"/>
      <c r="F9" t="s">
        <v>57</v>
      </c>
      <c r="G9" s="6"/>
      <c r="H9" t="s">
        <v>57</v>
      </c>
      <c r="I9" s="6"/>
      <c r="J9" s="6"/>
      <c r="K9" s="6"/>
      <c r="L9" s="6"/>
      <c r="M9" s="6"/>
    </row>
    <row r="10" spans="1:14" x14ac:dyDescent="0.25">
      <c r="A10" s="6" t="s">
        <v>58</v>
      </c>
      <c r="B10" s="6"/>
      <c r="C10" s="6"/>
      <c r="D10" s="6" t="s">
        <v>59</v>
      </c>
      <c r="E10" s="6"/>
      <c r="F10" t="s">
        <v>60</v>
      </c>
      <c r="G10" s="6"/>
      <c r="H10" t="s">
        <v>60</v>
      </c>
      <c r="I10" s="6"/>
      <c r="J10" s="6"/>
      <c r="K10" s="6"/>
      <c r="L10" s="6"/>
      <c r="M10" s="6"/>
    </row>
    <row r="11" spans="1:14" x14ac:dyDescent="0.25">
      <c r="D11" s="6" t="s">
        <v>61</v>
      </c>
      <c r="F11" t="s">
        <v>62</v>
      </c>
      <c r="H11" t="s">
        <v>62</v>
      </c>
    </row>
    <row r="12" spans="1:14" x14ac:dyDescent="0.25">
      <c r="D12" s="6" t="s">
        <v>63</v>
      </c>
      <c r="H12" t="s">
        <v>64</v>
      </c>
    </row>
    <row r="13" spans="1:14" x14ac:dyDescent="0.25">
      <c r="A13" s="6" t="s">
        <v>65</v>
      </c>
      <c r="D13" s="6" t="s">
        <v>66</v>
      </c>
      <c r="H13" t="s">
        <v>67</v>
      </c>
    </row>
    <row r="14" spans="1:14" x14ac:dyDescent="0.25">
      <c r="A14" s="6" t="s">
        <v>68</v>
      </c>
      <c r="D14" s="6" t="s">
        <v>69</v>
      </c>
      <c r="H14" t="s">
        <v>70</v>
      </c>
    </row>
    <row r="15" spans="1:14" x14ac:dyDescent="0.25">
      <c r="D15" s="6" t="s">
        <v>71</v>
      </c>
      <c r="H15" t="s">
        <v>72</v>
      </c>
    </row>
    <row r="16" spans="1:14" x14ac:dyDescent="0.25">
      <c r="D16" s="6" t="s">
        <v>73</v>
      </c>
      <c r="H16" t="s">
        <v>74</v>
      </c>
    </row>
    <row r="17" spans="4:8" x14ac:dyDescent="0.25">
      <c r="D17" s="6" t="s">
        <v>75</v>
      </c>
      <c r="H17" t="s">
        <v>76</v>
      </c>
    </row>
    <row r="18" spans="4:8" x14ac:dyDescent="0.25">
      <c r="D18" s="6" t="s">
        <v>77</v>
      </c>
      <c r="H18" t="s">
        <v>78</v>
      </c>
    </row>
    <row r="19" spans="4:8" x14ac:dyDescent="0.25">
      <c r="D19" s="6" t="s">
        <v>79</v>
      </c>
      <c r="H19" t="s">
        <v>80</v>
      </c>
    </row>
    <row r="20" spans="4:8" x14ac:dyDescent="0.25">
      <c r="D20" s="6" t="s">
        <v>81</v>
      </c>
      <c r="H20" t="s">
        <v>82</v>
      </c>
    </row>
    <row r="21" spans="4:8" x14ac:dyDescent="0.25">
      <c r="D21" s="6" t="s">
        <v>83</v>
      </c>
      <c r="H21" t="s">
        <v>84</v>
      </c>
    </row>
    <row r="22" spans="4:8" x14ac:dyDescent="0.25">
      <c r="H22" t="s">
        <v>85</v>
      </c>
    </row>
    <row r="23" spans="4:8" x14ac:dyDescent="0.25">
      <c r="H23" t="s">
        <v>86</v>
      </c>
    </row>
    <row r="24" spans="4:8" x14ac:dyDescent="0.25">
      <c r="H24" t="s">
        <v>87</v>
      </c>
    </row>
  </sheetData>
  <sheetProtection algorithmName="SHA-512" hashValue="XfmQGyOz27RxwwdJ2OLmNQ9EfJktx0edTaMqTwg3bsuCRkHIh8XjPxSVa9Zh7xUuiJINcIl2yyiV7jb4MYmssA==" saltValue="R7auIfP0vaC8Sl1dbSnjq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53"/>
  <sheetViews>
    <sheetView showGridLines="0" tabSelected="1" topLeftCell="A4" zoomScale="70" zoomScaleNormal="70" zoomScaleSheetLayoutView="100" workbookViewId="0">
      <pane ySplit="1" topLeftCell="A5" activePane="bottomLeft" state="frozen"/>
      <selection activeCell="A4" sqref="A4"/>
      <selection pane="bottomLeft" activeCell="A7" sqref="A7"/>
    </sheetView>
  </sheetViews>
  <sheetFormatPr baseColWidth="10" defaultColWidth="9.140625" defaultRowHeight="18.75" x14ac:dyDescent="0.25"/>
  <cols>
    <col min="1" max="1" width="42.5703125" style="31" customWidth="1"/>
    <col min="2" max="2" width="33.140625" style="31" customWidth="1"/>
    <col min="3" max="3" width="44.7109375" style="31" customWidth="1"/>
    <col min="4" max="4" width="83.5703125" style="31" customWidth="1"/>
    <col min="5" max="5" width="79.85546875" style="31" customWidth="1"/>
    <col min="6" max="6" width="65.7109375" style="31" customWidth="1"/>
    <col min="7" max="7" width="32" style="31" customWidth="1"/>
    <col min="8" max="8" width="20.7109375" style="31" customWidth="1"/>
    <col min="9" max="9" width="70.5703125" style="31" customWidth="1"/>
    <col min="10" max="10" width="26.140625" style="31" customWidth="1"/>
    <col min="11" max="11" width="38.7109375" style="31" customWidth="1"/>
    <col min="12" max="12" width="50.7109375" style="31" customWidth="1"/>
    <col min="13" max="15" width="34.7109375" style="31" customWidth="1"/>
    <col min="16" max="16" width="29.7109375" style="43" customWidth="1"/>
    <col min="17" max="17" width="33.42578125" style="43" customWidth="1"/>
    <col min="18" max="18" width="28.28515625" style="43" customWidth="1"/>
    <col min="19" max="19" width="27.85546875" style="31" customWidth="1"/>
    <col min="20" max="20" width="36.5703125" style="31" customWidth="1"/>
    <col min="21" max="21" width="25.28515625" style="31" customWidth="1"/>
    <col min="22" max="22" width="26.5703125" style="31" customWidth="1"/>
    <col min="23" max="23" width="42.42578125" style="31" customWidth="1"/>
    <col min="24" max="24" width="67.85546875" style="31" customWidth="1"/>
    <col min="25" max="25" width="27.7109375" style="48" customWidth="1"/>
    <col min="26" max="26" width="30.7109375" style="31" customWidth="1"/>
    <col min="27" max="27" width="25" style="48" customWidth="1"/>
    <col min="28" max="28" width="25.42578125" style="31" customWidth="1"/>
    <col min="29" max="29" width="24.85546875" style="31" customWidth="1"/>
    <col min="30" max="30" width="27" style="31" customWidth="1"/>
    <col min="31" max="31" width="27.5703125" style="31" customWidth="1"/>
    <col min="32" max="33" width="26.7109375" style="31" customWidth="1"/>
    <col min="34" max="34" width="27.28515625" style="31" customWidth="1"/>
    <col min="35" max="36" width="23.85546875" style="31" customWidth="1"/>
    <col min="37" max="16384" width="9.140625" style="31"/>
  </cols>
  <sheetData>
    <row r="1" spans="1:36" ht="30" x14ac:dyDescent="0.25">
      <c r="A1" s="53" t="e" vm="1">
        <v>#VALUE!</v>
      </c>
      <c r="B1" s="55" t="s">
        <v>88</v>
      </c>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10" t="s">
        <v>89</v>
      </c>
    </row>
    <row r="2" spans="1:36" ht="30" x14ac:dyDescent="0.25">
      <c r="A2" s="53"/>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10" t="s">
        <v>90</v>
      </c>
    </row>
    <row r="3" spans="1:36" ht="30" customHeight="1" x14ac:dyDescent="0.25">
      <c r="A3" s="54"/>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11" t="s">
        <v>91</v>
      </c>
    </row>
    <row r="4" spans="1:36" s="32" customFormat="1" ht="83.25" customHeight="1" x14ac:dyDescent="0.25">
      <c r="A4" s="21" t="s">
        <v>92</v>
      </c>
      <c r="B4" s="21" t="s">
        <v>1</v>
      </c>
      <c r="C4" s="21" t="s">
        <v>93</v>
      </c>
      <c r="D4" s="21" t="s">
        <v>94</v>
      </c>
      <c r="E4" s="21" t="s">
        <v>95</v>
      </c>
      <c r="F4" s="21" t="s">
        <v>96</v>
      </c>
      <c r="G4" s="21" t="s">
        <v>97</v>
      </c>
      <c r="H4" s="21" t="s">
        <v>98</v>
      </c>
      <c r="I4" s="21" t="s">
        <v>99</v>
      </c>
      <c r="J4" s="21" t="s">
        <v>100</v>
      </c>
      <c r="K4" s="21" t="s">
        <v>101</v>
      </c>
      <c r="L4" s="21" t="s">
        <v>102</v>
      </c>
      <c r="M4" s="21" t="s">
        <v>103</v>
      </c>
      <c r="N4" s="21" t="s">
        <v>5</v>
      </c>
      <c r="O4" s="21" t="s">
        <v>7</v>
      </c>
      <c r="P4" s="21" t="s">
        <v>104</v>
      </c>
      <c r="Q4" s="21" t="s">
        <v>105</v>
      </c>
      <c r="R4" s="22" t="s">
        <v>106</v>
      </c>
      <c r="S4" s="22" t="s">
        <v>107</v>
      </c>
      <c r="T4" s="22" t="s">
        <v>108</v>
      </c>
      <c r="U4" s="22" t="s">
        <v>109</v>
      </c>
      <c r="V4" s="22" t="s">
        <v>110</v>
      </c>
      <c r="W4" s="22" t="s">
        <v>111</v>
      </c>
      <c r="X4" s="22" t="s">
        <v>112</v>
      </c>
      <c r="Y4" s="22" t="s">
        <v>113</v>
      </c>
      <c r="Z4" s="22" t="s">
        <v>114</v>
      </c>
      <c r="AA4" s="22" t="s">
        <v>115</v>
      </c>
      <c r="AB4" s="22" t="s">
        <v>116</v>
      </c>
      <c r="AC4" s="22" t="s">
        <v>117</v>
      </c>
      <c r="AD4" s="22" t="s">
        <v>118</v>
      </c>
      <c r="AE4" s="22" t="s">
        <v>119</v>
      </c>
      <c r="AF4" s="22" t="s">
        <v>120</v>
      </c>
      <c r="AG4" s="22" t="s">
        <v>121</v>
      </c>
      <c r="AH4" s="22" t="s">
        <v>122</v>
      </c>
      <c r="AI4" s="22" t="s">
        <v>123</v>
      </c>
      <c r="AJ4" s="22" t="s">
        <v>124</v>
      </c>
    </row>
    <row r="5" spans="1:36" s="40" customFormat="1" ht="99.95" customHeight="1" x14ac:dyDescent="0.25">
      <c r="A5" s="13" t="s">
        <v>20</v>
      </c>
      <c r="B5" s="13" t="s">
        <v>40</v>
      </c>
      <c r="C5" s="14"/>
      <c r="D5" s="23" t="s">
        <v>125</v>
      </c>
      <c r="E5" s="14" t="s">
        <v>126</v>
      </c>
      <c r="F5" s="14"/>
      <c r="G5" s="18"/>
      <c r="H5" s="13" t="s">
        <v>127</v>
      </c>
      <c r="I5" s="14" t="s">
        <v>128</v>
      </c>
      <c r="J5" s="13" t="s">
        <v>25</v>
      </c>
      <c r="K5" s="25">
        <v>4</v>
      </c>
      <c r="L5" s="16" t="s">
        <v>129</v>
      </c>
      <c r="M5" s="13"/>
      <c r="N5" s="13" t="s">
        <v>176</v>
      </c>
      <c r="O5" s="13" t="s">
        <v>179</v>
      </c>
      <c r="P5" s="19">
        <v>45677</v>
      </c>
      <c r="Q5" s="19">
        <v>46042</v>
      </c>
      <c r="R5" s="19">
        <v>45975</v>
      </c>
      <c r="S5" s="29">
        <v>1</v>
      </c>
      <c r="T5" s="7" t="s">
        <v>15</v>
      </c>
      <c r="U5" s="36"/>
      <c r="V5" s="36"/>
      <c r="W5" s="50" t="s">
        <v>172</v>
      </c>
      <c r="X5" s="51" t="s">
        <v>171</v>
      </c>
      <c r="Y5" s="45">
        <f t="shared" ref="Y5:Y8" ca="1" si="0">IF(AND($R5="",$Q5&lt;&gt;""), MAX(0, TODAY()-$Q5), IF(AND($R5&lt;&gt;"", $Q5&lt;&gt;""), MAX(0, $R5-$Q5), ""))</f>
        <v>0</v>
      </c>
      <c r="Z5" s="38"/>
      <c r="AA5" s="24" t="str">
        <f ca="1">IF(AND($T5&lt;&gt;"Cumplido", $Q5&lt;&gt;"", $R5=""), IF($Q5-TODAY()&lt;=Parametros!$M$2, IF($Q5-TODAY()&gt;=0, "Sí", "Vencido"), "No"), IF(AND($T5&lt;&gt;"Cumplido", $Q5&lt;&gt;"", $R5&lt;&gt;""), IF($R5&gt;$Q5, "Incumplido", "Cumplido en plazo"), ""))</f>
        <v>Cumplido en plazo</v>
      </c>
      <c r="AB5" s="39">
        <v>1</v>
      </c>
      <c r="AC5" s="39">
        <v>1</v>
      </c>
      <c r="AD5" s="7" t="s">
        <v>65</v>
      </c>
      <c r="AE5" s="7" t="s">
        <v>65</v>
      </c>
      <c r="AF5" s="7" t="s">
        <v>65</v>
      </c>
      <c r="AG5" s="7" t="s">
        <v>65</v>
      </c>
      <c r="AH5" s="7" t="s">
        <v>65</v>
      </c>
      <c r="AI5" s="52" t="s">
        <v>170</v>
      </c>
      <c r="AJ5" s="39" t="s">
        <v>175</v>
      </c>
    </row>
    <row r="6" spans="1:36" s="40" customFormat="1" ht="99.95" customHeight="1" x14ac:dyDescent="0.25">
      <c r="A6" s="13" t="s">
        <v>20</v>
      </c>
      <c r="B6" s="13" t="s">
        <v>40</v>
      </c>
      <c r="C6" s="14"/>
      <c r="D6" s="23" t="s">
        <v>131</v>
      </c>
      <c r="E6" s="14" t="s">
        <v>132</v>
      </c>
      <c r="F6" s="14"/>
      <c r="G6" s="18"/>
      <c r="H6" s="13" t="s">
        <v>133</v>
      </c>
      <c r="I6" s="14" t="s">
        <v>134</v>
      </c>
      <c r="J6" s="13" t="s">
        <v>25</v>
      </c>
      <c r="K6" s="25">
        <v>14</v>
      </c>
      <c r="L6" s="16" t="s">
        <v>135</v>
      </c>
      <c r="M6" s="13"/>
      <c r="N6" s="13" t="s">
        <v>176</v>
      </c>
      <c r="O6" s="13" t="s">
        <v>179</v>
      </c>
      <c r="P6" s="19">
        <v>45677</v>
      </c>
      <c r="Q6" s="19">
        <v>46042</v>
      </c>
      <c r="R6" s="19">
        <v>45975</v>
      </c>
      <c r="S6" s="29">
        <v>1</v>
      </c>
      <c r="T6" s="7" t="s">
        <v>15</v>
      </c>
      <c r="U6" s="36"/>
      <c r="V6" s="36"/>
      <c r="W6" s="50" t="s">
        <v>173</v>
      </c>
      <c r="X6" s="51" t="s">
        <v>174</v>
      </c>
      <c r="Y6" s="45">
        <f t="shared" ca="1" si="0"/>
        <v>0</v>
      </c>
      <c r="Z6" s="38"/>
      <c r="AA6" s="24" t="str">
        <f ca="1">IF(AND($T6&lt;&gt;"Cumplido", $Q6&lt;&gt;"", $R6=""), IF($Q6-TODAY()&lt;=Parametros!$M$2, IF($Q6-TODAY()&gt;=0, "Sí", "Vencido"), "No"), IF(AND($T6&lt;&gt;"Cumplido", $Q6&lt;&gt;"", $R6&lt;&gt;""), IF($R6&gt;$Q6, "Incumplido", "Cumplido en plazo"), ""))</f>
        <v>Cumplido en plazo</v>
      </c>
      <c r="AB6" s="39">
        <v>1</v>
      </c>
      <c r="AC6" s="39">
        <v>1</v>
      </c>
      <c r="AD6" s="7" t="s">
        <v>65</v>
      </c>
      <c r="AE6" s="7" t="s">
        <v>65</v>
      </c>
      <c r="AF6" s="7" t="s">
        <v>65</v>
      </c>
      <c r="AG6" s="7" t="s">
        <v>65</v>
      </c>
      <c r="AH6" s="7" t="s">
        <v>65</v>
      </c>
      <c r="AI6" s="52" t="s">
        <v>170</v>
      </c>
      <c r="AJ6" s="39" t="s">
        <v>175</v>
      </c>
    </row>
    <row r="7" spans="1:36" s="40" customFormat="1" ht="99.95" customHeight="1" x14ac:dyDescent="0.25">
      <c r="A7" s="13" t="s">
        <v>20</v>
      </c>
      <c r="B7" s="13" t="s">
        <v>40</v>
      </c>
      <c r="C7" s="14"/>
      <c r="D7" s="23" t="s">
        <v>136</v>
      </c>
      <c r="E7" s="14" t="s">
        <v>137</v>
      </c>
      <c r="F7" s="14"/>
      <c r="G7" s="18"/>
      <c r="H7" s="13" t="s">
        <v>138</v>
      </c>
      <c r="I7" s="14" t="s">
        <v>139</v>
      </c>
      <c r="J7" s="13" t="s">
        <v>25</v>
      </c>
      <c r="K7" s="25">
        <v>1</v>
      </c>
      <c r="L7" s="16" t="s">
        <v>140</v>
      </c>
      <c r="M7" s="13"/>
      <c r="N7" s="13" t="s">
        <v>177</v>
      </c>
      <c r="O7" s="13" t="s">
        <v>178</v>
      </c>
      <c r="P7" s="19">
        <v>45663</v>
      </c>
      <c r="Q7" s="19">
        <v>46022</v>
      </c>
      <c r="R7" s="19"/>
      <c r="S7" s="29">
        <v>0</v>
      </c>
      <c r="T7" s="7" t="s">
        <v>28</v>
      </c>
      <c r="U7" s="36"/>
      <c r="V7" s="36"/>
      <c r="W7" s="50" t="s">
        <v>141</v>
      </c>
      <c r="X7" s="26" t="s">
        <v>180</v>
      </c>
      <c r="Y7" s="45">
        <f t="shared" ca="1" si="0"/>
        <v>0</v>
      </c>
      <c r="Z7" s="38"/>
      <c r="AA7" s="24" t="str">
        <f ca="1">IF(AND($T7&lt;&gt;"Cumplido", $Q7&lt;&gt;"", $R7=""), IF($Q7-TODAY()&lt;=Parametros!$M$2, IF($Q7-TODAY()&gt;=0, "Sí", "Vencido"), "No"), IF(AND($T7&lt;&gt;"Cumplido", $Q7&lt;&gt;"", $R7&lt;&gt;""), IF($R7&gt;$Q7, "Incumplido", "Cumplido en plazo"), ""))</f>
        <v>Sí</v>
      </c>
      <c r="AB7" s="39">
        <v>0</v>
      </c>
      <c r="AC7" s="39" t="s">
        <v>175</v>
      </c>
      <c r="AD7" s="7"/>
      <c r="AE7" s="7"/>
      <c r="AF7" s="7"/>
      <c r="AG7" s="7"/>
      <c r="AH7" s="7"/>
      <c r="AI7" s="7" t="s">
        <v>130</v>
      </c>
      <c r="AJ7" s="39" t="s">
        <v>175</v>
      </c>
    </row>
    <row r="8" spans="1:36" s="40" customFormat="1" ht="99.95" customHeight="1" x14ac:dyDescent="0.25">
      <c r="A8" s="13" t="s">
        <v>20</v>
      </c>
      <c r="B8" s="13" t="s">
        <v>40</v>
      </c>
      <c r="C8" s="14"/>
      <c r="D8" s="23" t="s">
        <v>142</v>
      </c>
      <c r="E8" s="14" t="s">
        <v>143</v>
      </c>
      <c r="F8" s="14"/>
      <c r="G8" s="18"/>
      <c r="H8" s="13" t="s">
        <v>144</v>
      </c>
      <c r="I8" s="14" t="s">
        <v>145</v>
      </c>
      <c r="J8" s="13" t="s">
        <v>25</v>
      </c>
      <c r="K8" s="25">
        <v>12</v>
      </c>
      <c r="L8" s="16" t="s">
        <v>146</v>
      </c>
      <c r="M8" s="13"/>
      <c r="N8" s="13" t="s">
        <v>177</v>
      </c>
      <c r="O8" s="13" t="s">
        <v>178</v>
      </c>
      <c r="P8" s="19">
        <v>45663</v>
      </c>
      <c r="Q8" s="19">
        <v>46031</v>
      </c>
      <c r="R8" s="19"/>
      <c r="S8" s="29">
        <v>0.66666666666666663</v>
      </c>
      <c r="T8" s="7" t="s">
        <v>28</v>
      </c>
      <c r="U8" s="36"/>
      <c r="V8" s="36"/>
      <c r="W8" s="50" t="s">
        <v>147</v>
      </c>
      <c r="X8" s="27" t="s">
        <v>181</v>
      </c>
      <c r="Y8" s="45">
        <f t="shared" ca="1" si="0"/>
        <v>0</v>
      </c>
      <c r="Z8" s="38"/>
      <c r="AA8" s="24" t="str">
        <f ca="1">IF(AND($T8&lt;&gt;"Cumplido", $Q8&lt;&gt;"", $R8=""), IF($Q8-TODAY()&lt;=Parametros!$M$2, IF($Q8-TODAY()&gt;=0, "Sí", "Vencido"), "No"), IF(AND($T8&lt;&gt;"Cumplido", $Q8&lt;&gt;"", $R8&lt;&gt;""), IF($R8&gt;$Q8, "Incumplido", "Cumplido en plazo"), ""))</f>
        <v>Sí</v>
      </c>
      <c r="AB8" s="39">
        <v>0.66666666666666663</v>
      </c>
      <c r="AC8" s="39" t="s">
        <v>175</v>
      </c>
      <c r="AD8" s="7"/>
      <c r="AE8" s="7"/>
      <c r="AF8" s="7"/>
      <c r="AG8" s="7"/>
      <c r="AH8" s="7"/>
      <c r="AI8" s="7" t="s">
        <v>130</v>
      </c>
      <c r="AJ8" s="39" t="s">
        <v>175</v>
      </c>
    </row>
    <row r="9" spans="1:36" s="33" customFormat="1" ht="18.75" customHeight="1" x14ac:dyDescent="0.25">
      <c r="A9" s="13"/>
      <c r="B9" s="13"/>
      <c r="C9" s="14"/>
      <c r="D9" s="23"/>
      <c r="E9" s="20"/>
      <c r="F9" s="14"/>
      <c r="G9" s="18"/>
      <c r="H9" s="13"/>
      <c r="I9" s="14"/>
      <c r="J9" s="13"/>
      <c r="K9" s="15"/>
      <c r="L9" s="16"/>
      <c r="M9" s="13"/>
      <c r="N9" s="13"/>
      <c r="O9" s="13"/>
      <c r="P9" s="17"/>
      <c r="Q9" s="17"/>
      <c r="R9" s="34"/>
      <c r="S9" s="28"/>
      <c r="T9" s="7"/>
      <c r="U9" s="28"/>
      <c r="V9" s="28"/>
      <c r="W9" s="28"/>
      <c r="X9" s="28"/>
      <c r="Y9" s="12" t="str">
        <f t="shared" ref="Y9:Y13" ca="1" si="1">IF(AND($R9="", $Q9&lt;&gt;""), MAX(0, TODAY()-$Q9), IF(AND($R9&lt;&gt;"", $Q9&lt;&gt;""), MAX(0, $R9-$Q9), ""))</f>
        <v/>
      </c>
      <c r="Z9" s="35" t="str">
        <f>IF(OR($U9="", $V9=""), "", VLOOKUP($U9, Parametros!$I$2:$J$4, 2, FALSE) * VLOOKUP($V9, Parametros!$K$2:$L$4, 2, FALSE))</f>
        <v/>
      </c>
      <c r="AA9" s="8" t="str">
        <f ca="1">IF(AND($T9&lt;&gt;"Cumplido", $Q9&lt;&gt;"", $R9=""), IF($Q9-TODAY()&lt;=Parametros!$M$2, IF($Q9-TODAY()&gt;=0, "Sí", "Vencido"), "No"), IF(AND($T9&lt;&gt;"Cumplido", $Q9&lt;&gt;"", $R9&lt;&gt;""), IF($R9&gt;$Q9, "Incumplido", "Cumplido en plazo"), ""))</f>
        <v/>
      </c>
      <c r="AB9" s="28"/>
      <c r="AC9" s="37"/>
      <c r="AD9" s="8"/>
      <c r="AE9" s="8"/>
      <c r="AF9" s="8"/>
      <c r="AG9" s="8"/>
      <c r="AH9" s="8"/>
      <c r="AI9" s="7"/>
      <c r="AJ9" s="28"/>
    </row>
    <row r="10" spans="1:36" s="30" customFormat="1" x14ac:dyDescent="0.25">
      <c r="P10" s="41"/>
      <c r="Q10" s="41"/>
      <c r="R10" s="41"/>
      <c r="T10" s="9"/>
      <c r="Y10" s="46" t="str">
        <f t="shared" ca="1" si="1"/>
        <v/>
      </c>
      <c r="Z10" s="42" t="str">
        <f>IF(OR($U10="", $V10=""), "", VLOOKUP($U10, Parametros!$I$2:$J$4, 2, FALSE) * VLOOKUP($V10, Parametros!$K$2:$L$4, 2, FALSE))</f>
        <v/>
      </c>
      <c r="AA10" s="49" t="str">
        <f ca="1">IF(AND($T10&lt;&gt;"Cumplido", $Q10&lt;&gt;"", $R10=""), IF($Q10-TODAY()&lt;=Parametros!$M$2, IF($Q10-TODAY()&gt;=0, "Sí", "Vencido"), "No"), IF(AND($T10&lt;&gt;"Cumplido", $Q10&lt;&gt;"", $R10&lt;&gt;""), IF($R10&gt;$Q10, "Incumplido", "Cumplido en plazo"), ""))</f>
        <v/>
      </c>
      <c r="AI10" s="9"/>
    </row>
    <row r="11" spans="1:36" s="30" customFormat="1" x14ac:dyDescent="0.25">
      <c r="P11" s="41"/>
      <c r="Q11" s="41"/>
      <c r="R11" s="41"/>
      <c r="T11" s="9"/>
      <c r="Y11" s="46" t="str">
        <f t="shared" ca="1" si="1"/>
        <v/>
      </c>
      <c r="Z11" s="42" t="str">
        <f>IF(OR($U11="", $V11=""), "", VLOOKUP($U11, Parametros!$I$2:$J$4, 2, FALSE) * VLOOKUP($V11, Parametros!$K$2:$L$4, 2, FALSE))</f>
        <v/>
      </c>
      <c r="AA11" s="49" t="str">
        <f ca="1">IF(AND($T11&lt;&gt;"Cumplido", $Q11&lt;&gt;"", $R11=""), IF($Q11-TODAY()&lt;=Parametros!$M$2, IF($Q11-TODAY()&gt;=0, "Sí", "Vencido"), "No"), IF(AND($T11&lt;&gt;"Cumplido", $Q11&lt;&gt;"", $R11&lt;&gt;""), IF($R11&gt;$Q11, "Incumplido", "Cumplido en plazo"), ""))</f>
        <v/>
      </c>
      <c r="AI11" s="9"/>
    </row>
    <row r="12" spans="1:36" s="30" customFormat="1" x14ac:dyDescent="0.25">
      <c r="P12" s="41"/>
      <c r="Q12" s="41"/>
      <c r="R12" s="41"/>
      <c r="T12" s="9"/>
      <c r="Y12" s="46" t="str">
        <f t="shared" ca="1" si="1"/>
        <v/>
      </c>
      <c r="Z12" s="42" t="str">
        <f>IF(OR($U12="", $V12=""), "", VLOOKUP($U12, Parametros!$I$2:$J$4, 2, FALSE) * VLOOKUP($V12, Parametros!$K$2:$L$4, 2, FALSE))</f>
        <v/>
      </c>
      <c r="AA12" s="49" t="str">
        <f ca="1">IF(AND($T12&lt;&gt;"Cumplido", $Q12&lt;&gt;"", $R12=""), IF($Q12-TODAY()&lt;=Parametros!$M$2, IF($Q12-TODAY()&gt;=0, "Sí", "Vencido"), "No"), IF(AND($T12&lt;&gt;"Cumplido", $Q12&lt;&gt;"", $R12&lt;&gt;""), IF($R12&gt;$Q12, "Incumplido", "Cumplido en plazo"), ""))</f>
        <v/>
      </c>
      <c r="AI12" s="9"/>
    </row>
    <row r="13" spans="1:36" s="30" customFormat="1" x14ac:dyDescent="0.25">
      <c r="P13" s="41"/>
      <c r="Q13" s="41"/>
      <c r="R13" s="41"/>
      <c r="T13" s="9"/>
      <c r="Y13" s="46" t="str">
        <f t="shared" ca="1" si="1"/>
        <v/>
      </c>
      <c r="Z13" s="42" t="str">
        <f>IF(OR($U13="", $V13=""), "", VLOOKUP($U13, Parametros!$I$2:$J$4, 2, FALSE) * VLOOKUP($V13, Parametros!$K$2:$L$4, 2, FALSE))</f>
        <v/>
      </c>
      <c r="AA13" s="49" t="str">
        <f ca="1">IF(AND($T13&lt;&gt;"Cumplido", $Q13&lt;&gt;"", $R13=""), IF($Q13-TODAY()&lt;=Parametros!$M$2, IF($Q13-TODAY()&gt;=0, "Sí", "Vencido"), "No"), IF(AND($T13&lt;&gt;"Cumplido", $Q13&lt;&gt;"", $R13&lt;&gt;""), IF($R13&gt;$Q13, "Incumplido", "Cumplido en plazo"), ""))</f>
        <v/>
      </c>
      <c r="AI13" s="9"/>
    </row>
    <row r="14" spans="1:36" s="30" customFormat="1" x14ac:dyDescent="0.25">
      <c r="P14" s="41"/>
      <c r="Q14" s="41"/>
      <c r="R14" s="41"/>
      <c r="T14" s="9"/>
      <c r="Y14" s="46" t="str">
        <f t="shared" ref="Y14:Y53" ca="1" si="2">IF(AND($R14="", $Q14&lt;&gt;""), MAX(0, TODAY()-$Q14), IF(AND($R14&lt;&gt;"", $Q14&lt;&gt;""), MAX(0, $R14-$Q14), ""))</f>
        <v/>
      </c>
      <c r="Z14" s="42" t="str">
        <f>IF(OR($U14="", $V14=""), "", VLOOKUP($U14, Parametros!$I$2:$J$4, 2, FALSE) * VLOOKUP($V14, Parametros!$K$2:$L$4, 2, FALSE))</f>
        <v/>
      </c>
      <c r="AA14" s="49" t="str">
        <f ca="1">IF(AND($T14&lt;&gt;"Cumplido", $Q14&lt;&gt;"", $R14=""), IF($Q14-TODAY()&lt;=Parametros!$M$2, IF($Q14-TODAY()&gt;=0, "Sí", "Vencido"), "No"), IF(AND($T14&lt;&gt;"Cumplido", $Q14&lt;&gt;"", $R14&lt;&gt;""), IF($R14&gt;$Q14, "Incumplido", "Cumplido en plazo"), ""))</f>
        <v/>
      </c>
      <c r="AI14" s="9"/>
    </row>
    <row r="15" spans="1:36" s="30" customFormat="1" x14ac:dyDescent="0.25">
      <c r="P15" s="41"/>
      <c r="Q15" s="41"/>
      <c r="R15" s="41"/>
      <c r="T15" s="9"/>
      <c r="Y15" s="46" t="str">
        <f t="shared" ca="1" si="2"/>
        <v/>
      </c>
      <c r="Z15" s="42" t="str">
        <f>IF(OR($U15="", $V15=""), "", VLOOKUP($U15, Parametros!$I$2:$J$4, 2, FALSE) * VLOOKUP($V15, Parametros!$K$2:$L$4, 2, FALSE))</f>
        <v/>
      </c>
      <c r="AA15" s="49" t="str">
        <f ca="1">IF(AND($T15&lt;&gt;"Cumplido", $Q15&lt;&gt;"", $R15=""), IF($Q15-TODAY()&lt;=Parametros!$M$2, IF($Q15-TODAY()&gt;=0, "Sí", "Vencido"), "No"), IF(AND($T15&lt;&gt;"Cumplido", $Q15&lt;&gt;"", $R15&lt;&gt;""), IF($R15&gt;$Q15, "Incumplido", "Cumplido en plazo"), ""))</f>
        <v/>
      </c>
      <c r="AI15" s="9"/>
    </row>
    <row r="16" spans="1:36" s="30" customFormat="1" x14ac:dyDescent="0.25">
      <c r="P16" s="41"/>
      <c r="Q16" s="41"/>
      <c r="R16" s="41"/>
      <c r="T16" s="9"/>
      <c r="Y16" s="46" t="str">
        <f t="shared" ca="1" si="2"/>
        <v/>
      </c>
      <c r="Z16" s="42" t="str">
        <f>IF(OR($U16="", $V16=""), "", VLOOKUP($U16, Parametros!$I$2:$J$4, 2, FALSE) * VLOOKUP($V16, Parametros!$K$2:$L$4, 2, FALSE))</f>
        <v/>
      </c>
      <c r="AA16" s="49" t="str">
        <f ca="1">IF(AND($T16&lt;&gt;"Cumplido", $Q16&lt;&gt;"", $R16=""), IF($Q16-TODAY()&lt;=Parametros!$M$2, IF($Q16-TODAY()&gt;=0, "Sí", "Vencido"), "No"), IF(AND($T16&lt;&gt;"Cumplido", $Q16&lt;&gt;"", $R16&lt;&gt;""), IF($R16&gt;$Q16, "Incumplido", "Cumplido en plazo"), ""))</f>
        <v/>
      </c>
      <c r="AI16" s="9"/>
    </row>
    <row r="17" spans="16:35" s="30" customFormat="1" x14ac:dyDescent="0.25">
      <c r="P17" s="41"/>
      <c r="Q17" s="41"/>
      <c r="R17" s="41"/>
      <c r="T17" s="9"/>
      <c r="Y17" s="46" t="str">
        <f t="shared" ca="1" si="2"/>
        <v/>
      </c>
      <c r="Z17" s="42" t="str">
        <f>IF(OR($U17="", $V17=""), "", VLOOKUP($U17, Parametros!$I$2:$J$4, 2, FALSE) * VLOOKUP($V17, Parametros!$K$2:$L$4, 2, FALSE))</f>
        <v/>
      </c>
      <c r="AA17" s="49" t="str">
        <f ca="1">IF(AND($T17&lt;&gt;"Cumplido", $Q17&lt;&gt;"", $R17=""), IF($Q17-TODAY()&lt;=Parametros!$M$2, IF($Q17-TODAY()&gt;=0, "Sí", "Vencido"), "No"), IF(AND($T17&lt;&gt;"Cumplido", $Q17&lt;&gt;"", $R17&lt;&gt;""), IF($R17&gt;$Q17, "Incumplido", "Cumplido en plazo"), ""))</f>
        <v/>
      </c>
      <c r="AI17" s="9"/>
    </row>
    <row r="18" spans="16:35" s="30" customFormat="1" x14ac:dyDescent="0.25">
      <c r="P18" s="41"/>
      <c r="Q18" s="41"/>
      <c r="R18" s="41"/>
      <c r="T18" s="9"/>
      <c r="Y18" s="46" t="str">
        <f t="shared" ca="1" si="2"/>
        <v/>
      </c>
      <c r="Z18" s="42" t="str">
        <f>IF(OR($U18="", $V18=""), "", VLOOKUP($U18, Parametros!$I$2:$J$4, 2, FALSE) * VLOOKUP($V18, Parametros!$K$2:$L$4, 2, FALSE))</f>
        <v/>
      </c>
      <c r="AA18" s="49" t="str">
        <f ca="1">IF(AND($T18&lt;&gt;"Cumplido", $Q18&lt;&gt;"", $R18=""), IF($Q18-TODAY()&lt;=Parametros!$M$2, IF($Q18-TODAY()&gt;=0, "Sí", "Vencido"), "No"), IF(AND($T18&lt;&gt;"Cumplido", $Q18&lt;&gt;"", $R18&lt;&gt;""), IF($R18&gt;$Q18, "Incumplido", "Cumplido en plazo"), ""))</f>
        <v/>
      </c>
      <c r="AI18" s="9"/>
    </row>
    <row r="19" spans="16:35" s="30" customFormat="1" x14ac:dyDescent="0.25">
      <c r="P19" s="41"/>
      <c r="Q19" s="41"/>
      <c r="R19" s="41"/>
      <c r="T19" s="9"/>
      <c r="Y19" s="46" t="str">
        <f t="shared" ca="1" si="2"/>
        <v/>
      </c>
      <c r="Z19" s="42" t="str">
        <f>IF(OR($U19="", $V19=""), "", VLOOKUP($U19, Parametros!$I$2:$J$4, 2, FALSE) * VLOOKUP($V19, Parametros!$K$2:$L$4, 2, FALSE))</f>
        <v/>
      </c>
      <c r="AA19" s="49" t="str">
        <f ca="1">IF(AND($T19&lt;&gt;"Cumplido", $Q19&lt;&gt;"", $R19=""), IF($Q19-TODAY()&lt;=Parametros!$M$2, IF($Q19-TODAY()&gt;=0, "Sí", "Vencido"), "No"), IF(AND($T19&lt;&gt;"Cumplido", $Q19&lt;&gt;"", $R19&lt;&gt;""), IF($R19&gt;$Q19, "Incumplido", "Cumplido en plazo"), ""))</f>
        <v/>
      </c>
      <c r="AI19" s="9"/>
    </row>
    <row r="20" spans="16:35" s="30" customFormat="1" x14ac:dyDescent="0.25">
      <c r="P20" s="41"/>
      <c r="Q20" s="41"/>
      <c r="R20" s="41"/>
      <c r="T20" s="9"/>
      <c r="Y20" s="46" t="str">
        <f t="shared" ca="1" si="2"/>
        <v/>
      </c>
      <c r="Z20" s="42" t="str">
        <f>IF(OR($U20="", $V20=""), "", VLOOKUP($U20, Parametros!$I$2:$J$4, 2, FALSE) * VLOOKUP($V20, Parametros!$K$2:$L$4, 2, FALSE))</f>
        <v/>
      </c>
      <c r="AA20" s="49" t="str">
        <f ca="1">IF(AND($T20&lt;&gt;"Cumplido", $Q20&lt;&gt;"", $R20=""), IF($Q20-TODAY()&lt;=Parametros!$M$2, IF($Q20-TODAY()&gt;=0, "Sí", "Vencido"), "No"), IF(AND($T20&lt;&gt;"Cumplido", $Q20&lt;&gt;"", $R20&lt;&gt;""), IF($R20&gt;$Q20, "Incumplido", "Cumplido en plazo"), ""))</f>
        <v/>
      </c>
      <c r="AI20" s="9"/>
    </row>
    <row r="21" spans="16:35" s="30" customFormat="1" x14ac:dyDescent="0.25">
      <c r="P21" s="41"/>
      <c r="Q21" s="41"/>
      <c r="R21" s="41"/>
      <c r="T21" s="9"/>
      <c r="Y21" s="46" t="str">
        <f t="shared" ca="1" si="2"/>
        <v/>
      </c>
      <c r="Z21" s="42" t="str">
        <f>IF(OR($U21="", $V21=""), "", VLOOKUP($U21, Parametros!$I$2:$J$4, 2, FALSE) * VLOOKUP($V21, Parametros!$K$2:$L$4, 2, FALSE))</f>
        <v/>
      </c>
      <c r="AA21" s="49" t="str">
        <f ca="1">IF(AND($T21&lt;&gt;"Cumplido", $Q21&lt;&gt;"", $R21=""), IF($Q21-TODAY()&lt;=Parametros!$M$2, IF($Q21-TODAY()&gt;=0, "Sí", "Vencido"), "No"), IF(AND($T21&lt;&gt;"Cumplido", $Q21&lt;&gt;"", $R21&lt;&gt;""), IF($R21&gt;$Q21, "Incumplido", "Cumplido en plazo"), ""))</f>
        <v/>
      </c>
      <c r="AI21" s="9"/>
    </row>
    <row r="22" spans="16:35" s="30" customFormat="1" x14ac:dyDescent="0.25">
      <c r="P22" s="41"/>
      <c r="Q22" s="41"/>
      <c r="R22" s="41"/>
      <c r="T22" s="9"/>
      <c r="Y22" s="46" t="str">
        <f t="shared" ca="1" si="2"/>
        <v/>
      </c>
      <c r="Z22" s="42" t="str">
        <f>IF(OR($U22="", $V22=""), "", VLOOKUP($U22, Parametros!$I$2:$J$4, 2, FALSE) * VLOOKUP($V22, Parametros!$K$2:$L$4, 2, FALSE))</f>
        <v/>
      </c>
      <c r="AA22" s="49" t="str">
        <f ca="1">IF(AND($T22&lt;&gt;"Cumplido", $Q22&lt;&gt;"", $R22=""), IF($Q22-TODAY()&lt;=Parametros!$M$2, IF($Q22-TODAY()&gt;=0, "Sí", "Vencido"), "No"), IF(AND($T22&lt;&gt;"Cumplido", $Q22&lt;&gt;"", $R22&lt;&gt;""), IF($R22&gt;$Q22, "Incumplido", "Cumplido en plazo"), ""))</f>
        <v/>
      </c>
      <c r="AI22" s="9"/>
    </row>
    <row r="23" spans="16:35" s="30" customFormat="1" x14ac:dyDescent="0.25">
      <c r="P23" s="41"/>
      <c r="Q23" s="41"/>
      <c r="R23" s="41"/>
      <c r="T23" s="9"/>
      <c r="Y23" s="46" t="str">
        <f t="shared" ca="1" si="2"/>
        <v/>
      </c>
      <c r="Z23" s="42" t="str">
        <f>IF(OR($U23="", $V23=""), "", VLOOKUP($U23, Parametros!$I$2:$J$4, 2, FALSE) * VLOOKUP($V23, Parametros!$K$2:$L$4, 2, FALSE))</f>
        <v/>
      </c>
      <c r="AA23" s="49" t="str">
        <f ca="1">IF(AND($T23&lt;&gt;"Cumplido", $Q23&lt;&gt;"", $R23=""), IF($Q23-TODAY()&lt;=Parametros!$M$2, IF($Q23-TODAY()&gt;=0, "Sí", "Vencido"), "No"), IF(AND($T23&lt;&gt;"Cumplido", $Q23&lt;&gt;"", $R23&lt;&gt;""), IF($R23&gt;$Q23, "Incumplido", "Cumplido en plazo"), ""))</f>
        <v/>
      </c>
      <c r="AI23" s="9"/>
    </row>
    <row r="24" spans="16:35" s="30" customFormat="1" x14ac:dyDescent="0.25">
      <c r="P24" s="41"/>
      <c r="Q24" s="41"/>
      <c r="R24" s="41"/>
      <c r="T24" s="9"/>
      <c r="Y24" s="46" t="str">
        <f t="shared" ca="1" si="2"/>
        <v/>
      </c>
      <c r="Z24" s="42" t="str">
        <f>IF(OR($U24="", $V24=""), "", VLOOKUP($U24, Parametros!$I$2:$J$4, 2, FALSE) * VLOOKUP($V24, Parametros!$K$2:$L$4, 2, FALSE))</f>
        <v/>
      </c>
      <c r="AA24" s="49" t="str">
        <f ca="1">IF(AND($T24&lt;&gt;"Cumplido", $Q24&lt;&gt;"", $R24=""), IF($Q24-TODAY()&lt;=Parametros!$M$2, IF($Q24-TODAY()&gt;=0, "Sí", "Vencido"), "No"), IF(AND($T24&lt;&gt;"Cumplido", $Q24&lt;&gt;"", $R24&lt;&gt;""), IF($R24&gt;$Q24, "Incumplido", "Cumplido en plazo"), ""))</f>
        <v/>
      </c>
      <c r="AI24" s="9"/>
    </row>
    <row r="25" spans="16:35" s="30" customFormat="1" x14ac:dyDescent="0.25">
      <c r="P25" s="41"/>
      <c r="Q25" s="41"/>
      <c r="R25" s="41"/>
      <c r="T25" s="9"/>
      <c r="Y25" s="46" t="str">
        <f t="shared" ca="1" si="2"/>
        <v/>
      </c>
      <c r="Z25" s="42" t="str">
        <f>IF(OR($U25="", $V25=""), "", VLOOKUP($U25, Parametros!$I$2:$J$4, 2, FALSE) * VLOOKUP($V25, Parametros!$K$2:$L$4, 2, FALSE))</f>
        <v/>
      </c>
      <c r="AA25" s="49" t="str">
        <f ca="1">IF(AND($T25&lt;&gt;"Cumplido", $Q25&lt;&gt;"", $R25=""), IF($Q25-TODAY()&lt;=Parametros!$M$2, IF($Q25-TODAY()&gt;=0, "Sí", "Vencido"), "No"), IF(AND($T25&lt;&gt;"Cumplido", $Q25&lt;&gt;"", $R25&lt;&gt;""), IF($R25&gt;$Q25, "Incumplido", "Cumplido en plazo"), ""))</f>
        <v/>
      </c>
      <c r="AI25" s="9"/>
    </row>
    <row r="26" spans="16:35" s="30" customFormat="1" x14ac:dyDescent="0.25">
      <c r="P26" s="41"/>
      <c r="Q26" s="41"/>
      <c r="R26" s="41"/>
      <c r="T26" s="9"/>
      <c r="Y26" s="46" t="str">
        <f t="shared" ca="1" si="2"/>
        <v/>
      </c>
      <c r="Z26" s="42" t="str">
        <f>IF(OR($U26="", $V26=""), "", VLOOKUP($U26, Parametros!$I$2:$J$4, 2, FALSE) * VLOOKUP($V26, Parametros!$K$2:$L$4, 2, FALSE))</f>
        <v/>
      </c>
      <c r="AA26" s="49" t="str">
        <f ca="1">IF(AND($T26&lt;&gt;"Cumplido", $Q26&lt;&gt;"", $R26=""), IF($Q26-TODAY()&lt;=Parametros!$M$2, IF($Q26-TODAY()&gt;=0, "Sí", "Vencido"), "No"), IF(AND($T26&lt;&gt;"Cumplido", $Q26&lt;&gt;"", $R26&lt;&gt;""), IF($R26&gt;$Q26, "Incumplido", "Cumplido en plazo"), ""))</f>
        <v/>
      </c>
      <c r="AI26" s="9"/>
    </row>
    <row r="27" spans="16:35" s="30" customFormat="1" x14ac:dyDescent="0.25">
      <c r="P27" s="41"/>
      <c r="Q27" s="41"/>
      <c r="R27" s="41"/>
      <c r="T27" s="9"/>
      <c r="Y27" s="46" t="str">
        <f t="shared" ca="1" si="2"/>
        <v/>
      </c>
      <c r="Z27" s="42" t="str">
        <f>IF(OR($U27="", $V27=""), "", VLOOKUP($U27, Parametros!$I$2:$J$4, 2, FALSE) * VLOOKUP($V27, Parametros!$K$2:$L$4, 2, FALSE))</f>
        <v/>
      </c>
      <c r="AA27" s="49" t="str">
        <f ca="1">IF(AND($T27&lt;&gt;"Cumplido", $Q27&lt;&gt;"", $R27=""), IF($Q27-TODAY()&lt;=Parametros!$M$2, IF($Q27-TODAY()&gt;=0, "Sí", "Vencido"), "No"), IF(AND($T27&lt;&gt;"Cumplido", $Q27&lt;&gt;"", $R27&lt;&gt;""), IF($R27&gt;$Q27, "Incumplido", "Cumplido en plazo"), ""))</f>
        <v/>
      </c>
      <c r="AI27" s="9"/>
    </row>
    <row r="28" spans="16:35" s="30" customFormat="1" x14ac:dyDescent="0.25">
      <c r="P28" s="41"/>
      <c r="Q28" s="41"/>
      <c r="R28" s="41"/>
      <c r="T28" s="9"/>
      <c r="Y28" s="46" t="str">
        <f t="shared" ca="1" si="2"/>
        <v/>
      </c>
      <c r="Z28" s="42" t="str">
        <f>IF(OR($U28="", $V28=""), "", VLOOKUP($U28, Parametros!$I$2:$J$4, 2, FALSE) * VLOOKUP($V28, Parametros!$K$2:$L$4, 2, FALSE))</f>
        <v/>
      </c>
      <c r="AA28" s="49" t="str">
        <f ca="1">IF(AND($T28&lt;&gt;"Cumplido", $Q28&lt;&gt;"", $R28=""), IF($Q28-TODAY()&lt;=Parametros!$M$2, IF($Q28-TODAY()&gt;=0, "Sí", "Vencido"), "No"), IF(AND($T28&lt;&gt;"Cumplido", $Q28&lt;&gt;"", $R28&lt;&gt;""), IF($R28&gt;$Q28, "Incumplido", "Cumplido en plazo"), ""))</f>
        <v/>
      </c>
      <c r="AI28" s="9"/>
    </row>
    <row r="29" spans="16:35" s="30" customFormat="1" x14ac:dyDescent="0.25">
      <c r="P29" s="41"/>
      <c r="Q29" s="41"/>
      <c r="R29" s="41"/>
      <c r="T29" s="9"/>
      <c r="Y29" s="46" t="str">
        <f t="shared" ca="1" si="2"/>
        <v/>
      </c>
      <c r="Z29" s="42" t="str">
        <f>IF(OR($U29="", $V29=""), "", VLOOKUP($U29, Parametros!$I$2:$J$4, 2, FALSE) * VLOOKUP($V29, Parametros!$K$2:$L$4, 2, FALSE))</f>
        <v/>
      </c>
      <c r="AA29" s="49" t="str">
        <f ca="1">IF(AND($T29&lt;&gt;"Cumplido", $Q29&lt;&gt;"", $R29=""), IF($Q29-TODAY()&lt;=Parametros!$M$2, IF($Q29-TODAY()&gt;=0, "Sí", "Vencido"), "No"), IF(AND($T29&lt;&gt;"Cumplido", $Q29&lt;&gt;"", $R29&lt;&gt;""), IF($R29&gt;$Q29, "Incumplido", "Cumplido en plazo"), ""))</f>
        <v/>
      </c>
      <c r="AI29" s="9"/>
    </row>
    <row r="30" spans="16:35" s="30" customFormat="1" x14ac:dyDescent="0.25">
      <c r="P30" s="41"/>
      <c r="Q30" s="41"/>
      <c r="R30" s="41"/>
      <c r="T30" s="9"/>
      <c r="Y30" s="46" t="str">
        <f t="shared" ca="1" si="2"/>
        <v/>
      </c>
      <c r="Z30" s="42" t="str">
        <f>IF(OR($U30="", $V30=""), "", VLOOKUP($U30, Parametros!$I$2:$J$4, 2, FALSE) * VLOOKUP($V30, Parametros!$K$2:$L$4, 2, FALSE))</f>
        <v/>
      </c>
      <c r="AA30" s="49" t="str">
        <f ca="1">IF(AND($T30&lt;&gt;"Cumplido", $Q30&lt;&gt;"", $R30=""), IF($Q30-TODAY()&lt;=Parametros!$M$2, IF($Q30-TODAY()&gt;=0, "Sí", "Vencido"), "No"), IF(AND($T30&lt;&gt;"Cumplido", $Q30&lt;&gt;"", $R30&lt;&gt;""), IF($R30&gt;$Q30, "Incumplido", "Cumplido en plazo"), ""))</f>
        <v/>
      </c>
      <c r="AI30" s="9"/>
    </row>
    <row r="31" spans="16:35" s="30" customFormat="1" x14ac:dyDescent="0.25">
      <c r="P31" s="41"/>
      <c r="Q31" s="41"/>
      <c r="R31" s="41"/>
      <c r="T31" s="9"/>
      <c r="Y31" s="46" t="str">
        <f t="shared" ca="1" si="2"/>
        <v/>
      </c>
      <c r="Z31" s="42" t="str">
        <f>IF(OR($U31="", $V31=""), "", VLOOKUP($U31, Parametros!$I$2:$J$4, 2, FALSE) * VLOOKUP($V31, Parametros!$K$2:$L$4, 2, FALSE))</f>
        <v/>
      </c>
      <c r="AA31" s="49" t="str">
        <f ca="1">IF(AND($T31&lt;&gt;"Cumplido", $Q31&lt;&gt;"", $R31=""), IF($Q31-TODAY()&lt;=Parametros!$M$2, IF($Q31-TODAY()&gt;=0, "Sí", "Vencido"), "No"), IF(AND($T31&lt;&gt;"Cumplido", $Q31&lt;&gt;"", $R31&lt;&gt;""), IF($R31&gt;$Q31, "Incumplido", "Cumplido en plazo"), ""))</f>
        <v/>
      </c>
      <c r="AI31" s="9"/>
    </row>
    <row r="32" spans="16:35" s="30" customFormat="1" x14ac:dyDescent="0.25">
      <c r="P32" s="41"/>
      <c r="Q32" s="41"/>
      <c r="R32" s="41"/>
      <c r="T32" s="9"/>
      <c r="Y32" s="46" t="str">
        <f t="shared" ca="1" si="2"/>
        <v/>
      </c>
      <c r="Z32" s="42" t="str">
        <f>IF(OR($U32="", $V32=""), "", VLOOKUP($U32, Parametros!$I$2:$J$4, 2, FALSE) * VLOOKUP($V32, Parametros!$K$2:$L$4, 2, FALSE))</f>
        <v/>
      </c>
      <c r="AA32" s="49" t="str">
        <f ca="1">IF(AND($T32&lt;&gt;"Cumplido", $Q32&lt;&gt;"", $R32=""), IF($Q32-TODAY()&lt;=Parametros!$M$2, IF($Q32-TODAY()&gt;=0, "Sí", "Vencido"), "No"), IF(AND($T32&lt;&gt;"Cumplido", $Q32&lt;&gt;"", $R32&lt;&gt;""), IF($R32&gt;$Q32, "Incumplido", "Cumplido en plazo"), ""))</f>
        <v/>
      </c>
      <c r="AI32" s="9"/>
    </row>
    <row r="33" spans="16:35" s="30" customFormat="1" x14ac:dyDescent="0.25">
      <c r="P33" s="41"/>
      <c r="Q33" s="41"/>
      <c r="R33" s="41"/>
      <c r="T33" s="9"/>
      <c r="Y33" s="46" t="str">
        <f t="shared" ca="1" si="2"/>
        <v/>
      </c>
      <c r="Z33" s="42" t="str">
        <f>IF(OR($U33="", $V33=""), "", VLOOKUP($U33, Parametros!$I$2:$J$4, 2, FALSE) * VLOOKUP($V33, Parametros!$K$2:$L$4, 2, FALSE))</f>
        <v/>
      </c>
      <c r="AA33" s="49" t="str">
        <f ca="1">IF(AND($T33&lt;&gt;"Cumplido", $Q33&lt;&gt;"", $R33=""), IF($Q33-TODAY()&lt;=Parametros!$M$2, IF($Q33-TODAY()&gt;=0, "Sí", "Vencido"), "No"), IF(AND($T33&lt;&gt;"Cumplido", $Q33&lt;&gt;"", $R33&lt;&gt;""), IF($R33&gt;$Q33, "Incumplido", "Cumplido en plazo"), ""))</f>
        <v/>
      </c>
      <c r="AI33" s="9"/>
    </row>
    <row r="34" spans="16:35" s="30" customFormat="1" x14ac:dyDescent="0.25">
      <c r="P34" s="41"/>
      <c r="Q34" s="41"/>
      <c r="R34" s="41"/>
      <c r="T34" s="9"/>
      <c r="Y34" s="46" t="str">
        <f t="shared" ca="1" si="2"/>
        <v/>
      </c>
      <c r="Z34" s="42" t="str">
        <f>IF(OR($U34="", $V34=""), "", VLOOKUP($U34, Parametros!$I$2:$J$4, 2, FALSE) * VLOOKUP($V34, Parametros!$K$2:$L$4, 2, FALSE))</f>
        <v/>
      </c>
      <c r="AA34" s="49" t="str">
        <f ca="1">IF(AND($T34&lt;&gt;"Cumplido", $Q34&lt;&gt;"", $R34=""), IF($Q34-TODAY()&lt;=Parametros!$M$2, IF($Q34-TODAY()&gt;=0, "Sí", "Vencido"), "No"), IF(AND($T34&lt;&gt;"Cumplido", $Q34&lt;&gt;"", $R34&lt;&gt;""), IF($R34&gt;$Q34, "Incumplido", "Cumplido en plazo"), ""))</f>
        <v/>
      </c>
      <c r="AI34" s="9"/>
    </row>
    <row r="35" spans="16:35" s="30" customFormat="1" x14ac:dyDescent="0.25">
      <c r="P35" s="41"/>
      <c r="Q35" s="41"/>
      <c r="R35" s="41"/>
      <c r="T35" s="9"/>
      <c r="Y35" s="46" t="str">
        <f t="shared" ca="1" si="2"/>
        <v/>
      </c>
      <c r="Z35" s="42" t="str">
        <f>IF(OR($U35="", $V35=""), "", VLOOKUP($U35, Parametros!$I$2:$J$4, 2, FALSE) * VLOOKUP($V35, Parametros!$K$2:$L$4, 2, FALSE))</f>
        <v/>
      </c>
      <c r="AA35" s="49" t="str">
        <f ca="1">IF(AND($T35&lt;&gt;"Cumplido", $Q35&lt;&gt;"", $R35=""), IF($Q35-TODAY()&lt;=Parametros!$M$2, IF($Q35-TODAY()&gt;=0, "Sí", "Vencido"), "No"), IF(AND($T35&lt;&gt;"Cumplido", $Q35&lt;&gt;"", $R35&lt;&gt;""), IF($R35&gt;$Q35, "Incumplido", "Cumplido en plazo"), ""))</f>
        <v/>
      </c>
      <c r="AI35" s="9"/>
    </row>
    <row r="36" spans="16:35" s="30" customFormat="1" x14ac:dyDescent="0.25">
      <c r="P36" s="41"/>
      <c r="Q36" s="41"/>
      <c r="R36" s="41"/>
      <c r="T36" s="9"/>
      <c r="Y36" s="46" t="str">
        <f t="shared" ca="1" si="2"/>
        <v/>
      </c>
      <c r="Z36" s="42" t="str">
        <f>IF(OR($U36="", $V36=""), "", VLOOKUP($U36, Parametros!$I$2:$J$4, 2, FALSE) * VLOOKUP($V36, Parametros!$K$2:$L$4, 2, FALSE))</f>
        <v/>
      </c>
      <c r="AA36" s="49" t="str">
        <f ca="1">IF(AND($T36&lt;&gt;"Cumplido", $Q36&lt;&gt;"", $R36=""), IF($Q36-TODAY()&lt;=Parametros!$M$2, IF($Q36-TODAY()&gt;=0, "Sí", "Vencido"), "No"), IF(AND($T36&lt;&gt;"Cumplido", $Q36&lt;&gt;"", $R36&lt;&gt;""), IF($R36&gt;$Q36, "Incumplido", "Cumplido en plazo"), ""))</f>
        <v/>
      </c>
      <c r="AI36" s="9"/>
    </row>
    <row r="37" spans="16:35" s="30" customFormat="1" x14ac:dyDescent="0.25">
      <c r="P37" s="41"/>
      <c r="Q37" s="41"/>
      <c r="R37" s="41"/>
      <c r="T37" s="9"/>
      <c r="Y37" s="46" t="str">
        <f t="shared" ca="1" si="2"/>
        <v/>
      </c>
      <c r="Z37" s="42" t="str">
        <f>IF(OR($U37="", $V37=""), "", VLOOKUP($U37, Parametros!$I$2:$J$4, 2, FALSE) * VLOOKUP($V37, Parametros!$K$2:$L$4, 2, FALSE))</f>
        <v/>
      </c>
      <c r="AA37" s="49" t="str">
        <f ca="1">IF(AND($T37&lt;&gt;"Cumplido", $Q37&lt;&gt;"", $R37=""), IF($Q37-TODAY()&lt;=Parametros!$M$2, IF($Q37-TODAY()&gt;=0, "Sí", "Vencido"), "No"), IF(AND($T37&lt;&gt;"Cumplido", $Q37&lt;&gt;"", $R37&lt;&gt;""), IF($R37&gt;$Q37, "Incumplido", "Cumplido en plazo"), ""))</f>
        <v/>
      </c>
      <c r="AI37" s="9"/>
    </row>
    <row r="38" spans="16:35" s="30" customFormat="1" x14ac:dyDescent="0.25">
      <c r="P38" s="41"/>
      <c r="Q38" s="41"/>
      <c r="R38" s="41"/>
      <c r="T38" s="9"/>
      <c r="Y38" s="46" t="str">
        <f t="shared" ca="1" si="2"/>
        <v/>
      </c>
      <c r="Z38" s="42" t="str">
        <f>IF(OR($U38="", $V38=""), "", VLOOKUP($U38, Parametros!$I$2:$J$4, 2, FALSE) * VLOOKUP($V38, Parametros!$K$2:$L$4, 2, FALSE))</f>
        <v/>
      </c>
      <c r="AA38" s="49" t="str">
        <f ca="1">IF(AND($T38&lt;&gt;"Cumplido", $Q38&lt;&gt;"", $R38=""), IF($Q38-TODAY()&lt;=Parametros!$M$2, IF($Q38-TODAY()&gt;=0, "Sí", "Vencido"), "No"), IF(AND($T38&lt;&gt;"Cumplido", $Q38&lt;&gt;"", $R38&lt;&gt;""), IF($R38&gt;$Q38, "Incumplido", "Cumplido en plazo"), ""))</f>
        <v/>
      </c>
      <c r="AI38" s="9"/>
    </row>
    <row r="39" spans="16:35" s="30" customFormat="1" x14ac:dyDescent="0.25">
      <c r="P39" s="41"/>
      <c r="Q39" s="41"/>
      <c r="R39" s="41"/>
      <c r="T39" s="9"/>
      <c r="Y39" s="46" t="str">
        <f t="shared" ca="1" si="2"/>
        <v/>
      </c>
      <c r="Z39" s="42" t="str">
        <f>IF(OR($U39="", $V39=""), "", VLOOKUP($U39, Parametros!$I$2:$J$4, 2, FALSE) * VLOOKUP($V39, Parametros!$K$2:$L$4, 2, FALSE))</f>
        <v/>
      </c>
      <c r="AA39" s="49" t="str">
        <f ca="1">IF(AND($T39&lt;&gt;"Cumplido", $Q39&lt;&gt;"", $R39=""), IF($Q39-TODAY()&lt;=Parametros!$M$2, IF($Q39-TODAY()&gt;=0, "Sí", "Vencido"), "No"), IF(AND($T39&lt;&gt;"Cumplido", $Q39&lt;&gt;"", $R39&lt;&gt;""), IF($R39&gt;$Q39, "Incumplido", "Cumplido en plazo"), ""))</f>
        <v/>
      </c>
      <c r="AI39" s="9"/>
    </row>
    <row r="40" spans="16:35" s="30" customFormat="1" x14ac:dyDescent="0.25">
      <c r="P40" s="41"/>
      <c r="Q40" s="41"/>
      <c r="R40" s="41"/>
      <c r="T40" s="9"/>
      <c r="Y40" s="46" t="str">
        <f t="shared" ca="1" si="2"/>
        <v/>
      </c>
      <c r="Z40" s="42" t="str">
        <f>IF(OR($U40="", $V40=""), "", VLOOKUP($U40, Parametros!$I$2:$J$4, 2, FALSE) * VLOOKUP($V40, Parametros!$K$2:$L$4, 2, FALSE))</f>
        <v/>
      </c>
      <c r="AA40" s="49" t="str">
        <f ca="1">IF(AND($T40&lt;&gt;"Cumplido", $Q40&lt;&gt;"", $R40=""), IF($Q40-TODAY()&lt;=Parametros!$M$2, IF($Q40-TODAY()&gt;=0, "Sí", "Vencido"), "No"), IF(AND($T40&lt;&gt;"Cumplido", $Q40&lt;&gt;"", $R40&lt;&gt;""), IF($R40&gt;$Q40, "Incumplido", "Cumplido en plazo"), ""))</f>
        <v/>
      </c>
      <c r="AI40" s="9"/>
    </row>
    <row r="41" spans="16:35" s="30" customFormat="1" x14ac:dyDescent="0.25">
      <c r="P41" s="41"/>
      <c r="Q41" s="41"/>
      <c r="R41" s="41"/>
      <c r="T41" s="9"/>
      <c r="Y41" s="46" t="str">
        <f t="shared" ca="1" si="2"/>
        <v/>
      </c>
      <c r="Z41" s="42" t="str">
        <f>IF(OR($U41="", $V41=""), "", VLOOKUP($U41, Parametros!$I$2:$J$4, 2, FALSE) * VLOOKUP($V41, Parametros!$K$2:$L$4, 2, FALSE))</f>
        <v/>
      </c>
      <c r="AA41" s="49" t="str">
        <f ca="1">IF(AND($T41&lt;&gt;"Cumplido", $Q41&lt;&gt;"", $R41=""), IF($Q41-TODAY()&lt;=Parametros!$M$2, IF($Q41-TODAY()&gt;=0, "Sí", "Vencido"), "No"), IF(AND($T41&lt;&gt;"Cumplido", $Q41&lt;&gt;"", $R41&lt;&gt;""), IF($R41&gt;$Q41, "Incumplido", "Cumplido en plazo"), ""))</f>
        <v/>
      </c>
      <c r="AI41" s="9"/>
    </row>
    <row r="42" spans="16:35" s="30" customFormat="1" x14ac:dyDescent="0.25">
      <c r="P42" s="41"/>
      <c r="Q42" s="41"/>
      <c r="R42" s="41"/>
      <c r="T42" s="9"/>
      <c r="Y42" s="46" t="str">
        <f t="shared" ca="1" si="2"/>
        <v/>
      </c>
      <c r="Z42" s="42" t="str">
        <f>IF(OR($U42="", $V42=""), "", VLOOKUP($U42, Parametros!$I$2:$J$4, 2, FALSE) * VLOOKUP($V42, Parametros!$K$2:$L$4, 2, FALSE))</f>
        <v/>
      </c>
      <c r="AA42" s="49" t="str">
        <f ca="1">IF(AND($T42&lt;&gt;"Cumplido", $Q42&lt;&gt;"", $R42=""), IF($Q42-TODAY()&lt;=Parametros!$M$2, IF($Q42-TODAY()&gt;=0, "Sí", "Vencido"), "No"), IF(AND($T42&lt;&gt;"Cumplido", $Q42&lt;&gt;"", $R42&lt;&gt;""), IF($R42&gt;$Q42, "Incumplido", "Cumplido en plazo"), ""))</f>
        <v/>
      </c>
      <c r="AI42" s="9"/>
    </row>
    <row r="43" spans="16:35" s="30" customFormat="1" x14ac:dyDescent="0.25">
      <c r="P43" s="41"/>
      <c r="Q43" s="41"/>
      <c r="R43" s="41"/>
      <c r="T43" s="9"/>
      <c r="Y43" s="46" t="str">
        <f t="shared" ca="1" si="2"/>
        <v/>
      </c>
      <c r="Z43" s="42" t="str">
        <f>IF(OR($U43="", $V43=""), "", VLOOKUP($U43, Parametros!$I$2:$J$4, 2, FALSE) * VLOOKUP($V43, Parametros!$K$2:$L$4, 2, FALSE))</f>
        <v/>
      </c>
      <c r="AA43" s="49" t="str">
        <f ca="1">IF(AND($T43&lt;&gt;"Cumplido", $Q43&lt;&gt;"", $R43=""), IF($Q43-TODAY()&lt;=Parametros!$M$2, IF($Q43-TODAY()&gt;=0, "Sí", "Vencido"), "No"), IF(AND($T43&lt;&gt;"Cumplido", $Q43&lt;&gt;"", $R43&lt;&gt;""), IF($R43&gt;$Q43, "Incumplido", "Cumplido en plazo"), ""))</f>
        <v/>
      </c>
      <c r="AI43" s="9"/>
    </row>
    <row r="44" spans="16:35" s="30" customFormat="1" x14ac:dyDescent="0.25">
      <c r="P44" s="41"/>
      <c r="Q44" s="41"/>
      <c r="R44" s="41"/>
      <c r="T44" s="9"/>
      <c r="Y44" s="46" t="str">
        <f t="shared" ca="1" si="2"/>
        <v/>
      </c>
      <c r="Z44" s="42" t="str">
        <f>IF(OR($U44="", $V44=""), "", VLOOKUP($U44, Parametros!$I$2:$J$4, 2, FALSE) * VLOOKUP($V44, Parametros!$K$2:$L$4, 2, FALSE))</f>
        <v/>
      </c>
      <c r="AA44" s="49" t="str">
        <f ca="1">IF(AND($T44&lt;&gt;"Cumplido", $Q44&lt;&gt;"", $R44=""), IF($Q44-TODAY()&lt;=Parametros!$M$2, IF($Q44-TODAY()&gt;=0, "Sí", "Vencido"), "No"), IF(AND($T44&lt;&gt;"Cumplido", $Q44&lt;&gt;"", $R44&lt;&gt;""), IF($R44&gt;$Q44, "Incumplido", "Cumplido en plazo"), ""))</f>
        <v/>
      </c>
      <c r="AI44" s="9"/>
    </row>
    <row r="45" spans="16:35" s="30" customFormat="1" x14ac:dyDescent="0.25">
      <c r="P45" s="41"/>
      <c r="Q45" s="41"/>
      <c r="R45" s="41"/>
      <c r="T45" s="9"/>
      <c r="Y45" s="46" t="str">
        <f t="shared" ca="1" si="2"/>
        <v/>
      </c>
      <c r="Z45" s="42" t="str">
        <f>IF(OR($U45="", $V45=""), "", VLOOKUP($U45, Parametros!$I$2:$J$4, 2, FALSE) * VLOOKUP($V45, Parametros!$K$2:$L$4, 2, FALSE))</f>
        <v/>
      </c>
      <c r="AA45" s="49" t="str">
        <f ca="1">IF(AND($T45&lt;&gt;"Cumplido", $Q45&lt;&gt;"", $R45=""), IF($Q45-TODAY()&lt;=Parametros!$M$2, IF($Q45-TODAY()&gt;=0, "Sí", "Vencido"), "No"), IF(AND($T45&lt;&gt;"Cumplido", $Q45&lt;&gt;"", $R45&lt;&gt;""), IF($R45&gt;$Q45, "Incumplido", "Cumplido en plazo"), ""))</f>
        <v/>
      </c>
      <c r="AI45" s="9"/>
    </row>
    <row r="46" spans="16:35" s="30" customFormat="1" x14ac:dyDescent="0.25">
      <c r="P46" s="41"/>
      <c r="Q46" s="41"/>
      <c r="R46" s="41"/>
      <c r="T46" s="9"/>
      <c r="Y46" s="46" t="str">
        <f t="shared" ca="1" si="2"/>
        <v/>
      </c>
      <c r="Z46" s="42" t="str">
        <f>IF(OR($U46="", $V46=""), "", VLOOKUP($U46, Parametros!$I$2:$J$4, 2, FALSE) * VLOOKUP($V46, Parametros!$K$2:$L$4, 2, FALSE))</f>
        <v/>
      </c>
      <c r="AA46" s="49" t="str">
        <f ca="1">IF(AND($T46&lt;&gt;"Cumplido", $Q46&lt;&gt;"", $R46=""), IF($Q46-TODAY()&lt;=Parametros!$M$2, IF($Q46-TODAY()&gt;=0, "Sí", "Vencido"), "No"), IF(AND($T46&lt;&gt;"Cumplido", $Q46&lt;&gt;"", $R46&lt;&gt;""), IF($R46&gt;$Q46, "Incumplido", "Cumplido en plazo"), ""))</f>
        <v/>
      </c>
      <c r="AI46" s="9"/>
    </row>
    <row r="47" spans="16:35" s="30" customFormat="1" x14ac:dyDescent="0.25">
      <c r="P47" s="41"/>
      <c r="Q47" s="41"/>
      <c r="R47" s="41"/>
      <c r="T47" s="9"/>
      <c r="Y47" s="46" t="str">
        <f t="shared" ca="1" si="2"/>
        <v/>
      </c>
      <c r="Z47" s="42" t="str">
        <f>IF(OR($U47="", $V47=""), "", VLOOKUP($U47, Parametros!$I$2:$J$4, 2, FALSE) * VLOOKUP($V47, Parametros!$K$2:$L$4, 2, FALSE))</f>
        <v/>
      </c>
      <c r="AA47" s="49" t="str">
        <f ca="1">IF(AND($T47&lt;&gt;"Cumplido", $Q47&lt;&gt;"", $R47=""), IF($Q47-TODAY()&lt;=Parametros!$M$2, IF($Q47-TODAY()&gt;=0, "Sí", "Vencido"), "No"), IF(AND($T47&lt;&gt;"Cumplido", $Q47&lt;&gt;"", $R47&lt;&gt;""), IF($R47&gt;$Q47, "Incumplido", "Cumplido en plazo"), ""))</f>
        <v/>
      </c>
      <c r="AI47" s="9"/>
    </row>
    <row r="48" spans="16:35" s="30" customFormat="1" x14ac:dyDescent="0.25">
      <c r="P48" s="41"/>
      <c r="Q48" s="41"/>
      <c r="R48" s="41"/>
      <c r="T48" s="9"/>
      <c r="Y48" s="46" t="str">
        <f t="shared" ca="1" si="2"/>
        <v/>
      </c>
      <c r="Z48" s="42" t="str">
        <f>IF(OR($U48="", $V48=""), "", VLOOKUP($U48, Parametros!$I$2:$J$4, 2, FALSE) * VLOOKUP($V48, Parametros!$K$2:$L$4, 2, FALSE))</f>
        <v/>
      </c>
      <c r="AA48" s="49" t="str">
        <f ca="1">IF(AND($T48&lt;&gt;"Cumplido", $Q48&lt;&gt;"", $R48=""), IF($Q48-TODAY()&lt;=Parametros!$M$2, IF($Q48-TODAY()&gt;=0, "Sí", "Vencido"), "No"), IF(AND($T48&lt;&gt;"Cumplido", $Q48&lt;&gt;"", $R48&lt;&gt;""), IF($R48&gt;$Q48, "Incumplido", "Cumplido en plazo"), ""))</f>
        <v/>
      </c>
      <c r="AI48" s="9"/>
    </row>
    <row r="49" spans="16:35" s="30" customFormat="1" x14ac:dyDescent="0.25">
      <c r="P49" s="41"/>
      <c r="Q49" s="41"/>
      <c r="R49" s="41"/>
      <c r="T49" s="9"/>
      <c r="Y49" s="46" t="str">
        <f t="shared" ca="1" si="2"/>
        <v/>
      </c>
      <c r="Z49" s="42" t="str">
        <f>IF(OR($U49="", $V49=""), "", VLOOKUP($U49, Parametros!$I$2:$J$4, 2, FALSE) * VLOOKUP($V49, Parametros!$K$2:$L$4, 2, FALSE))</f>
        <v/>
      </c>
      <c r="AA49" s="49" t="str">
        <f ca="1">IF(AND($T49&lt;&gt;"Cumplido", $Q49&lt;&gt;"", $R49=""), IF($Q49-TODAY()&lt;=Parametros!$M$2, IF($Q49-TODAY()&gt;=0, "Sí", "Vencido"), "No"), IF(AND($T49&lt;&gt;"Cumplido", $Q49&lt;&gt;"", $R49&lt;&gt;""), IF($R49&gt;$Q49, "Incumplido", "Cumplido en plazo"), ""))</f>
        <v/>
      </c>
      <c r="AI49" s="9"/>
    </row>
    <row r="50" spans="16:35" s="30" customFormat="1" x14ac:dyDescent="0.25">
      <c r="P50" s="41"/>
      <c r="Q50" s="41"/>
      <c r="R50" s="41"/>
      <c r="T50" s="9"/>
      <c r="Y50" s="46" t="str">
        <f t="shared" ca="1" si="2"/>
        <v/>
      </c>
      <c r="Z50" s="42" t="str">
        <f>IF(OR($U50="", $V50=""), "", VLOOKUP($U50, Parametros!$I$2:$J$4, 2, FALSE) * VLOOKUP($V50, Parametros!$K$2:$L$4, 2, FALSE))</f>
        <v/>
      </c>
      <c r="AA50" s="49" t="str">
        <f ca="1">IF(AND($T50&lt;&gt;"Cumplido", $Q50&lt;&gt;"", $R50=""), IF($Q50-TODAY()&lt;=Parametros!$M$2, IF($Q50-TODAY()&gt;=0, "Sí", "Vencido"), "No"), IF(AND($T50&lt;&gt;"Cumplido", $Q50&lt;&gt;"", $R50&lt;&gt;""), IF($R50&gt;$Q50, "Incumplido", "Cumplido en plazo"), ""))</f>
        <v/>
      </c>
      <c r="AI50" s="9"/>
    </row>
    <row r="51" spans="16:35" s="30" customFormat="1" x14ac:dyDescent="0.25">
      <c r="P51" s="41"/>
      <c r="Q51" s="41"/>
      <c r="R51" s="41"/>
      <c r="T51" s="9"/>
      <c r="Y51" s="46" t="str">
        <f t="shared" ca="1" si="2"/>
        <v/>
      </c>
      <c r="Z51" s="42" t="str">
        <f>IF(OR($U51="", $V51=""), "", VLOOKUP($U51, Parametros!$I$2:$J$4, 2, FALSE) * VLOOKUP($V51, Parametros!$K$2:$L$4, 2, FALSE))</f>
        <v/>
      </c>
      <c r="AA51" s="49" t="str">
        <f ca="1">IF(AND($T51&lt;&gt;"Cumplido", $Q51&lt;&gt;"", $R51=""), IF($Q51-TODAY()&lt;=Parametros!$M$2, IF($Q51-TODAY()&gt;=0, "Sí", "Vencido"), "No"), IF(AND($T51&lt;&gt;"Cumplido", $Q51&lt;&gt;"", $R51&lt;&gt;""), IF($R51&gt;$Q51, "Incumplido", "Cumplido en plazo"), ""))</f>
        <v/>
      </c>
      <c r="AI51" s="9"/>
    </row>
    <row r="52" spans="16:35" s="30" customFormat="1" x14ac:dyDescent="0.25">
      <c r="P52" s="41"/>
      <c r="Q52" s="41"/>
      <c r="R52" s="41"/>
      <c r="T52" s="9"/>
      <c r="Y52" s="46" t="str">
        <f t="shared" ca="1" si="2"/>
        <v/>
      </c>
      <c r="Z52" s="42" t="str">
        <f>IF(OR($U52="", $V52=""), "", VLOOKUP($U52, Parametros!$I$2:$J$4, 2, FALSE) * VLOOKUP($V52, Parametros!$K$2:$L$4, 2, FALSE))</f>
        <v/>
      </c>
      <c r="AA52" s="49" t="str">
        <f ca="1">IF(AND($T52&lt;&gt;"Cumplido", $Q52&lt;&gt;"", $R52=""), IF($Q52-TODAY()&lt;=Parametros!$M$2, IF($Q52-TODAY()&gt;=0, "Sí", "Vencido"), "No"), IF(AND($T52&lt;&gt;"Cumplido", $Q52&lt;&gt;"", $R52&lt;&gt;""), IF($R52&gt;$Q52, "Incumplido", "Cumplido en plazo"), ""))</f>
        <v/>
      </c>
      <c r="AI52" s="9"/>
    </row>
    <row r="53" spans="16:35" x14ac:dyDescent="0.25">
      <c r="Y53" s="47" t="str">
        <f t="shared" ca="1" si="2"/>
        <v/>
      </c>
      <c r="Z53" s="44" t="str">
        <f>IF(OR($U53="", $V53=""), "", VLOOKUP($U53, Parametros!$I$2:$J$4, 2, FALSE) * VLOOKUP($V53, Parametros!$K$2:$L$4, 2, FALSE))</f>
        <v/>
      </c>
      <c r="AA53" s="48" t="str">
        <f ca="1">IF(AND($T53&lt;&gt;"Cumplido", $Q53&lt;&gt;"", $R53=""), IF($Q53-TODAY()&lt;=Parametros!$M$2, IF($Q53-TODAY()&gt;=0, "Sí", "Vencido"), "No"), IF(AND($T53&lt;&gt;"Cumplido", $Q53&lt;&gt;"", $R53&lt;&gt;""), IF($R53&gt;$Q53, "Incumplido", "Cumplido en plazo"), ""))</f>
        <v/>
      </c>
    </row>
  </sheetData>
  <sheetProtection selectLockedCells="1" selectUnlockedCells="1"/>
  <autoFilter ref="A4:AJ53" xr:uid="{00000000-0001-0000-0100-000000000000}"/>
  <mergeCells count="2">
    <mergeCell ref="A1:A3"/>
    <mergeCell ref="B1:AI3"/>
  </mergeCells>
  <phoneticPr fontId="16" type="noConversion"/>
  <conditionalFormatting sqref="T5:T53">
    <cfRule type="containsText" dxfId="11" priority="32" operator="containsText" text="Cumplido">
      <formula>NOT(ISERROR(SEARCH("Cumplido",T5)))</formula>
    </cfRule>
    <cfRule type="containsText" dxfId="10" priority="33" operator="containsText" text="En proceso">
      <formula>NOT(ISERROR(SEARCH("En proceso",T5)))</formula>
    </cfRule>
    <cfRule type="containsText" dxfId="9" priority="34" operator="containsText" text="Rezago">
      <formula>NOT(ISERROR(SEARCH("Rezago",T5)))</formula>
    </cfRule>
    <cfRule type="containsText" dxfId="8" priority="35" operator="containsText" text="No iniciado">
      <formula>NOT(ISERROR(SEARCH("No iniciado",T5)))</formula>
    </cfRule>
  </conditionalFormatting>
  <conditionalFormatting sqref="Y5:Y53">
    <cfRule type="colorScale" priority="548">
      <colorScale>
        <cfvo type="min"/>
        <cfvo type="percentile" val="50"/>
        <cfvo type="max"/>
        <color rgb="FFFF0000"/>
        <color rgb="FFFFEB84"/>
        <color rgb="FF63BE7B"/>
      </colorScale>
    </cfRule>
  </conditionalFormatting>
  <conditionalFormatting sqref="AA5:AA53">
    <cfRule type="expression" dxfId="7" priority="29">
      <formula>$AA5="Sí"</formula>
    </cfRule>
    <cfRule type="expression" dxfId="6" priority="30">
      <formula>$AA5="Vencido"</formula>
    </cfRule>
  </conditionalFormatting>
  <conditionalFormatting sqref="AB5:AC6 AJ5:AJ8 AC7:AC9 AB7:AB50">
    <cfRule type="containsText" dxfId="5" priority="24" operator="containsText" text="Eficiencia Crítica">
      <formula>NOT(ISERROR(SEARCH("Eficiencia Crítica",AB5)))</formula>
    </cfRule>
    <cfRule type="containsText" dxfId="4" priority="25" operator="containsText" text="Baja Eficiencia">
      <formula>NOT(ISERROR(SEARCH("Baja Eficiencia",AB5)))</formula>
    </cfRule>
    <cfRule type="containsText" dxfId="3" priority="26" operator="containsText" text="Eficiencia Media">
      <formula>NOT(ISERROR(SEARCH("Eficiencia Media",AB5)))</formula>
    </cfRule>
    <cfRule type="containsText" dxfId="2" priority="27" operator="containsText" text="Alta Eficiencia">
      <formula>NOT(ISERROR(SEARCH("Alta Eficiencia",AB5)))</formula>
    </cfRule>
  </conditionalFormatting>
  <conditionalFormatting sqref="AJ9:AJ52">
    <cfRule type="containsText" dxfId="1" priority="13" operator="containsText" text="Hallazgo Abierto">
      <formula>NOT(ISERROR(SEARCH("Hallazgo Abierto",AJ9)))</formula>
    </cfRule>
    <cfRule type="containsText" dxfId="0" priority="14" operator="containsText" text="Hallazgo Cerrado">
      <formula>NOT(ISERROR(SEARCH("Hallazgo Cerrado",AJ9)))</formula>
    </cfRule>
  </conditionalFormatting>
  <pageMargins left="0.70866141732283472" right="0.70866141732283472" top="0.74803149606299213" bottom="0.74803149606299213" header="0.31496062992125984" footer="0.31496062992125984"/>
  <pageSetup scale="10" orientation="landscape" r:id="rId1"/>
  <headerFooter>
    <oddFooter>&amp;L&amp;G&amp;RPágina &amp;P de &amp;N</oddFooter>
  </headerFooter>
  <legacyDrawing r:id="rId2"/>
  <legacyDrawingHF r:id="rId3"/>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1000000}">
          <x14:formula1>
            <xm:f>Parametros!$C$2:$C$5</xm:f>
          </x14:formula1>
          <xm:sqref>T53</xm:sqref>
        </x14:dataValidation>
        <x14:dataValidation type="list" allowBlank="1" showInputMessage="1" showErrorMessage="1" xr:uid="{00000000-0002-0000-0100-000000000000}">
          <x14:formula1>
            <xm:f>Parametros!$A$2:$A$5</xm:f>
          </x14:formula1>
          <xm:sqref>A5:A53</xm:sqref>
        </x14:dataValidation>
        <x14:dataValidation type="list" allowBlank="1" showInputMessage="1" showErrorMessage="1" xr:uid="{66AF5C02-06D1-41AB-9F6C-DB3E6C4BE1CA}">
          <x14:formula1>
            <xm:f>Parametros!$B$2:$B$7</xm:f>
          </x14:formula1>
          <xm:sqref>B5:B8</xm:sqref>
        </x14:dataValidation>
        <x14:dataValidation type="list" allowBlank="1" showInputMessage="1" showErrorMessage="1" xr:uid="{F740379B-0D14-4263-A3F4-78C3EB883DC6}">
          <x14:formula1>
            <xm:f>Parametros!$D$2:$D$21</xm:f>
          </x14:formula1>
          <xm:sqref>M5:M8</xm:sqref>
        </x14:dataValidation>
        <x14:dataValidation type="list" allowBlank="1" showInputMessage="1" showErrorMessage="1" xr:uid="{05A276F3-0619-4F17-88EF-C1025CA07979}">
          <x14:formula1>
            <xm:f>Parametros!$A$13:$A$14</xm:f>
          </x14:formula1>
          <xm:sqref>AD5:AH8</xm:sqref>
        </x14:dataValidation>
        <x14:dataValidation type="list" allowBlank="1" showInputMessage="1" showErrorMessage="1" xr:uid="{3B8F4FAF-86C7-44A9-B397-0A5A12A76DFE}">
          <x14:formula1>
            <xm:f>Parametros!$N$2:$N$7</xm:f>
          </x14:formula1>
          <xm:sqref>J5:J8</xm:sqref>
        </x14:dataValidation>
        <x14:dataValidation type="list" allowBlank="1" showInputMessage="1" showErrorMessage="1" xr:uid="{6F1BA29D-E40D-4866-8273-C22926315474}">
          <x14:formula1>
            <xm:f>Parametros!$F$2:$F$11</xm:f>
          </x14:formula1>
          <xm:sqref>N5:N8</xm:sqref>
        </x14:dataValidation>
        <x14:dataValidation type="list" allowBlank="1" showInputMessage="1" showErrorMessage="1" xr:uid="{FE7A3CB9-FDD5-4117-94FF-D1354E5D09FD}">
          <x14:formula1>
            <xm:f>Parametros!$H$2:$H$24</xm:f>
          </x14:formula1>
          <xm:sqref>O5:O8</xm:sqref>
        </x14:dataValidation>
        <x14:dataValidation type="list" allowBlank="1" showInputMessage="1" showErrorMessage="1" xr:uid="{00000000-0002-0000-0100-000002000000}">
          <x14:formula1>
            <xm:f>Parametros!$E$2:$E$4</xm:f>
          </x14:formula1>
          <xm:sqref>U5:U53</xm:sqref>
        </x14:dataValidation>
        <x14:dataValidation type="list" allowBlank="1" showInputMessage="1" showErrorMessage="1" xr:uid="{00000000-0002-0000-0100-000003000000}">
          <x14:formula1>
            <xm:f>Parametros!$G$2:$G$4</xm:f>
          </x14:formula1>
          <xm:sqref>V5:V53</xm:sqref>
        </x14:dataValidation>
        <x14:dataValidation type="list" allowBlank="1" showInputMessage="1" showErrorMessage="1" xr:uid="{8D6A87F0-5AB7-4A9B-A415-A60AF3EE0F90}">
          <x14:formula1>
            <xm:f>Parametros!$C$2:$C$8</xm:f>
          </x14:formula1>
          <xm:sqref>T5:T52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
  <sheetViews>
    <sheetView workbookViewId="0">
      <selection activeCell="F10" sqref="F10"/>
    </sheetView>
  </sheetViews>
  <sheetFormatPr baseColWidth="10" defaultColWidth="9.140625" defaultRowHeight="15" x14ac:dyDescent="0.25"/>
  <cols>
    <col min="1" max="1" width="55.7109375" customWidth="1"/>
    <col min="2" max="2" width="20.7109375" customWidth="1"/>
  </cols>
  <sheetData>
    <row r="1" spans="1:2" x14ac:dyDescent="0.25">
      <c r="A1" s="1" t="s">
        <v>102</v>
      </c>
      <c r="B1" s="1" t="s">
        <v>148</v>
      </c>
    </row>
    <row r="2" spans="1:2" x14ac:dyDescent="0.25">
      <c r="A2" t="s">
        <v>149</v>
      </c>
      <c r="B2">
        <f>COUNTA('Plan de Mejoramiento'!#REF!)</f>
        <v>1</v>
      </c>
    </row>
    <row r="3" spans="1:2" x14ac:dyDescent="0.25">
      <c r="A3" t="s">
        <v>150</v>
      </c>
      <c r="B3">
        <f>COUNTIF('Plan de Mejoramiento'!$T$5:$T$53,"Cumplido")</f>
        <v>0</v>
      </c>
    </row>
    <row r="4" spans="1:2" x14ac:dyDescent="0.25">
      <c r="A4" t="s">
        <v>151</v>
      </c>
      <c r="B4">
        <f>COUNTIF('Plan de Mejoramiento'!$T$5:$T$53,"En proceso")</f>
        <v>0</v>
      </c>
    </row>
    <row r="5" spans="1:2" x14ac:dyDescent="0.25">
      <c r="A5" t="s">
        <v>152</v>
      </c>
      <c r="B5">
        <f>COUNTIF('Plan de Mejoramiento'!$T$5:$T$53,"Rezago")</f>
        <v>0</v>
      </c>
    </row>
    <row r="6" spans="1:2" x14ac:dyDescent="0.25">
      <c r="A6" t="s">
        <v>153</v>
      </c>
      <c r="B6">
        <f>COUNTIF('Plan de Mejoramiento'!$T$5:$T$53,"No iniciado")</f>
        <v>0</v>
      </c>
    </row>
    <row r="7" spans="1:2" x14ac:dyDescent="0.25">
      <c r="A7" t="s">
        <v>154</v>
      </c>
      <c r="B7" s="2"/>
    </row>
    <row r="8" spans="1:2" x14ac:dyDescent="0.25">
      <c r="A8" t="s">
        <v>155</v>
      </c>
      <c r="B8">
        <f>COUNTIFS('Plan de Mejoramiento'!$Z$5:$Z$53,"&gt;=6",'Plan de Mejoramiento'!$T$5:$T$53,"&lt;&gt;Cumplido")</f>
        <v>0</v>
      </c>
    </row>
    <row r="9" spans="1:2" x14ac:dyDescent="0.25">
      <c r="A9" t="s">
        <v>156</v>
      </c>
      <c r="B9">
        <f ca="1">COUNTIF('Plan de Mejoramiento'!$AA$5:$AA$53,"Sí")</f>
        <v>2</v>
      </c>
    </row>
    <row r="10" spans="1:2" x14ac:dyDescent="0.25">
      <c r="A10" t="s">
        <v>157</v>
      </c>
      <c r="B10">
        <f ca="1">IFERROR(AVERAGEIF('Plan de Mejoramiento'!$Y$5:$Y$53,"&gt;0",'Plan de Mejoramiento'!$Y$5:$Y$53),0)</f>
        <v>0</v>
      </c>
    </row>
  </sheetData>
  <sheetProtection algorithmName="SHA-512" hashValue="h1HNSCYvfGy6OHqcOOwIBU6460NBEqySM4y9liP/FlE1TqAECkD7K+C8sJpbM9QZc3BTEgUaxU46w51GEZ7vpg==" saltValue="SFlznebKRB6U3Gdu3Hy5Qw==" spinCount="100000" sheet="1" objects="1" scenarios="1"/>
  <conditionalFormatting sqref="B7">
    <cfRule type="colorScale" priority="1">
      <colorScale>
        <cfvo type="min"/>
        <cfvo type="percentile" val="50"/>
        <cfvo type="max"/>
        <color rgb="FFF8696B"/>
        <color rgb="FFFFEB84"/>
        <color rgb="FF63BE7B"/>
      </colorScale>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
  <sheetViews>
    <sheetView workbookViewId="0">
      <selection activeCell="D13" sqref="D13"/>
    </sheetView>
  </sheetViews>
  <sheetFormatPr baseColWidth="10" defaultColWidth="9.140625" defaultRowHeight="15" x14ac:dyDescent="0.25"/>
  <cols>
    <col min="1" max="1" width="25.42578125" customWidth="1"/>
    <col min="2" max="5" width="18.7109375" customWidth="1"/>
  </cols>
  <sheetData>
    <row r="1" spans="1:5" x14ac:dyDescent="0.25">
      <c r="A1" s="1" t="s">
        <v>158</v>
      </c>
      <c r="B1" s="1" t="s">
        <v>159</v>
      </c>
      <c r="D1" s="1" t="s">
        <v>108</v>
      </c>
      <c r="E1" s="1" t="s">
        <v>159</v>
      </c>
    </row>
    <row r="2" spans="1:5" x14ac:dyDescent="0.25">
      <c r="A2" s="6" t="s">
        <v>13</v>
      </c>
      <c r="B2">
        <f>COUNTIF('Plan de Mejoramiento'!$A$5:$A$53,"Contraloría")</f>
        <v>0</v>
      </c>
      <c r="D2" s="6" t="s">
        <v>15</v>
      </c>
      <c r="E2">
        <f>COUNTIF('Plan de Mejoramiento'!$T$5:$T$53,"Cumplido")</f>
        <v>0</v>
      </c>
    </row>
    <row r="3" spans="1:5" x14ac:dyDescent="0.25">
      <c r="A3" s="6" t="s">
        <v>20</v>
      </c>
      <c r="B3">
        <f>COUNTIF('Plan de Mejoramiento'!$A$5:$A$53,"Contraloría")</f>
        <v>0</v>
      </c>
      <c r="D3" s="6" t="s">
        <v>21</v>
      </c>
      <c r="E3">
        <f>COUNTIF('Plan de Mejoramiento'!$T$5:$T$53,"Cumplido")</f>
        <v>0</v>
      </c>
    </row>
    <row r="4" spans="1:5" x14ac:dyDescent="0.25">
      <c r="A4" s="6" t="s">
        <v>26</v>
      </c>
      <c r="B4">
        <f>COUNTIF('Plan de Mejoramiento'!$A$5:$A$53,"Contraloría")</f>
        <v>0</v>
      </c>
      <c r="D4" s="6" t="s">
        <v>28</v>
      </c>
      <c r="E4">
        <f>COUNTIF('Plan de Mejoramiento'!$T$5:$T$53,"Cumplido")</f>
        <v>0</v>
      </c>
    </row>
    <row r="5" spans="1:5" x14ac:dyDescent="0.25">
      <c r="A5" s="6" t="s">
        <v>33</v>
      </c>
      <c r="B5">
        <f>COUNTIF('Plan de Mejoramiento'!$A$5:$A$53,"Contraloría")</f>
        <v>0</v>
      </c>
      <c r="D5" s="6" t="s">
        <v>35</v>
      </c>
      <c r="E5">
        <f>COUNTIF('Plan de Mejoramiento'!$T$5:$T$53,"Cumplido")</f>
        <v>0</v>
      </c>
    </row>
    <row r="6" spans="1:5" x14ac:dyDescent="0.25">
      <c r="A6" s="6" t="s">
        <v>39</v>
      </c>
      <c r="B6">
        <f>COUNTIF('Plan de Mejoramiento'!$A$5:$A$53,"Contraloría")</f>
        <v>0</v>
      </c>
      <c r="D6" s="6" t="s">
        <v>47</v>
      </c>
      <c r="E6">
        <f>COUNTIF('Plan de Mejoramiento'!$T$5:$T$53,"Cumplido")</f>
        <v>0</v>
      </c>
    </row>
    <row r="7" spans="1:5" x14ac:dyDescent="0.25">
      <c r="A7" s="6" t="s">
        <v>45</v>
      </c>
      <c r="B7">
        <f>COUNTIF('Plan de Mejoramiento'!$A$5:$A$53,"Contraloría")</f>
        <v>0</v>
      </c>
      <c r="D7" s="6" t="s">
        <v>52</v>
      </c>
      <c r="E7">
        <f>COUNTIF('Plan de Mejoramiento'!$T$5:$T$53,"Cumplido")</f>
        <v>0</v>
      </c>
    </row>
    <row r="8" spans="1:5" x14ac:dyDescent="0.25">
      <c r="A8" s="6" t="s">
        <v>51</v>
      </c>
      <c r="B8">
        <f>COUNTIF('Plan de Mejoramiento'!$A$5:$A$53,"Contraloría")</f>
        <v>0</v>
      </c>
      <c r="E8">
        <f>COUNTIF('Plan de Mejoramiento'!$T$5:$T$53,"Cumplido")</f>
        <v>0</v>
      </c>
    </row>
    <row r="9" spans="1:5" x14ac:dyDescent="0.25">
      <c r="A9" s="6" t="s">
        <v>55</v>
      </c>
      <c r="B9">
        <f>COUNTIF('Plan de Mejoramiento'!$A$5:$A$53,"Contraloría")</f>
        <v>0</v>
      </c>
      <c r="E9">
        <f>COUNTIF('Plan de Mejoramiento'!$T$5:$T$53,"Cumplido")</f>
        <v>0</v>
      </c>
    </row>
    <row r="10" spans="1:5" x14ac:dyDescent="0.25">
      <c r="A10" s="6" t="s">
        <v>58</v>
      </c>
      <c r="B10">
        <f>COUNTIF('Plan de Mejoramiento'!$A$5:$A$53,"Contraloría")</f>
        <v>0</v>
      </c>
      <c r="E10">
        <f>COUNTIF('Plan de Mejoramiento'!$T$5:$T$53,"Cumplido")</f>
        <v>0</v>
      </c>
    </row>
  </sheetData>
  <sheetProtection algorithmName="SHA-512" hashValue="hAhUEXOg17ADKLgU31pKrYuFsIBHJcJf1zWqfpZpMoASxNxxbBswKAbep/M8cbTIORBChGLteAfHkK7eGv6xkw==" saltValue="gH7jWQJPLeggQ7YbSg6zVw=="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5"/>
  <sheetViews>
    <sheetView topLeftCell="A12" workbookViewId="0">
      <selection activeCell="A15" sqref="A15"/>
    </sheetView>
  </sheetViews>
  <sheetFormatPr baseColWidth="10" defaultColWidth="9.140625" defaultRowHeight="15" x14ac:dyDescent="0.25"/>
  <cols>
    <col min="1" max="1" width="46.85546875" customWidth="1"/>
  </cols>
  <sheetData>
    <row r="1" spans="1:2" ht="18.75" x14ac:dyDescent="0.3">
      <c r="A1" s="3" t="s">
        <v>160</v>
      </c>
    </row>
    <row r="3" spans="1:2" x14ac:dyDescent="0.25">
      <c r="A3" t="s">
        <v>161</v>
      </c>
      <c r="B3">
        <f>KPIs!B7</f>
        <v>0</v>
      </c>
    </row>
    <row r="5" spans="1:2" x14ac:dyDescent="0.25">
      <c r="A5" t="s">
        <v>162</v>
      </c>
      <c r="B5">
        <f>KPIs!B8</f>
        <v>0</v>
      </c>
    </row>
    <row r="6" spans="1:2" x14ac:dyDescent="0.25">
      <c r="A6" t="s">
        <v>163</v>
      </c>
      <c r="B6">
        <f ca="1">KPIs!B9</f>
        <v>2</v>
      </c>
    </row>
    <row r="7" spans="1:2" x14ac:dyDescent="0.25">
      <c r="A7" t="s">
        <v>157</v>
      </c>
      <c r="B7">
        <f ca="1">KPIs!B10</f>
        <v>0</v>
      </c>
    </row>
    <row r="10" spans="1:2" x14ac:dyDescent="0.25">
      <c r="A10" s="4" t="s">
        <v>164</v>
      </c>
    </row>
    <row r="11" spans="1:2" ht="45" x14ac:dyDescent="0.25">
      <c r="A11" s="5" t="s">
        <v>165</v>
      </c>
    </row>
    <row r="12" spans="1:2" ht="30" x14ac:dyDescent="0.25">
      <c r="A12" s="5" t="s">
        <v>166</v>
      </c>
    </row>
    <row r="13" spans="1:2" ht="30" x14ac:dyDescent="0.25">
      <c r="A13" s="5" t="s">
        <v>167</v>
      </c>
    </row>
    <row r="14" spans="1:2" ht="45" x14ac:dyDescent="0.25">
      <c r="A14" s="5" t="s">
        <v>168</v>
      </c>
    </row>
    <row r="15" spans="1:2" ht="30" x14ac:dyDescent="0.25">
      <c r="A15" s="5" t="s">
        <v>169</v>
      </c>
    </row>
  </sheetData>
  <sheetProtection algorithmName="SHA-512" hashValue="hbO36iA/EMsYNQ8lAZAAnW32YvH0/2XNWs4OfEdmJ2mUFKvxL0rD5TNSCvvoL1KI0qKij3yyBF22oeCiTzVNGg==" saltValue="KpYgHOe96TbWN3NfG907Xg=="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Parametros</vt:lpstr>
      <vt:lpstr>Plan de Mejoramiento</vt:lpstr>
      <vt:lpstr>KPIs</vt:lpstr>
      <vt:lpstr>Resumenes</vt:lpstr>
      <vt:lpstr>Dashboard</vt:lpstr>
      <vt:lpstr>'Plan de Mejoramiento'!Área_de_impresión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Angel Pardo Mateus</dc:creator>
  <cp:keywords/>
  <dc:description/>
  <cp:lastModifiedBy>Miguel Angel Pardo Mateus</cp:lastModifiedBy>
  <cp:revision/>
  <dcterms:created xsi:type="dcterms:W3CDTF">2025-09-06T01:58:21Z</dcterms:created>
  <dcterms:modified xsi:type="dcterms:W3CDTF">2026-01-01T00:50:56Z</dcterms:modified>
  <cp:category/>
  <cp:contentStatus/>
</cp:coreProperties>
</file>